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eshift.local\data\UserDesktops\wdiemer\"/>
    </mc:Choice>
  </mc:AlternateContent>
  <xr:revisionPtr revIDLastSave="0" documentId="13_ncr:1_{A6900FF8-1282-4FC2-B77E-ADF9D0CF771B}" xr6:coauthVersionLast="45" xr6:coauthVersionMax="45" xr10:uidLastSave="{00000000-0000-0000-0000-000000000000}"/>
  <bookViews>
    <workbookView xWindow="30015" yWindow="2280" windowWidth="21600" windowHeight="11385" xr2:uid="{00000000-000D-0000-FFFF-FFFF00000000}"/>
  </bookViews>
  <sheets>
    <sheet name="EK 2020" sheetId="5" r:id="rId1"/>
  </sheets>
  <definedNames>
    <definedName name="_xlnm.Print_Area" localSheetId="0">'EK 2020'!$D$1:$AA$66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7" i="5" l="1"/>
  <c r="M47" i="5"/>
  <c r="O46" i="5"/>
  <c r="M46" i="5"/>
  <c r="O45" i="5"/>
  <c r="M45" i="5"/>
  <c r="O44" i="5"/>
  <c r="M44" i="5"/>
  <c r="O39" i="5"/>
  <c r="M39" i="5"/>
  <c r="O38" i="5"/>
  <c r="M38" i="5"/>
  <c r="O37" i="5"/>
  <c r="M37" i="5"/>
  <c r="O36" i="5"/>
  <c r="M36" i="5"/>
  <c r="O31" i="5"/>
  <c r="M31" i="5"/>
  <c r="O30" i="5"/>
  <c r="M30" i="5"/>
  <c r="O29" i="5"/>
  <c r="M29" i="5"/>
  <c r="O28" i="5"/>
  <c r="M28" i="5"/>
  <c r="O23" i="5"/>
  <c r="M23" i="5"/>
  <c r="O22" i="5"/>
  <c r="M22" i="5"/>
  <c r="O21" i="5"/>
  <c r="M21" i="5"/>
  <c r="O20" i="5"/>
  <c r="M20" i="5"/>
  <c r="O15" i="5"/>
  <c r="M15" i="5"/>
  <c r="O14" i="5"/>
  <c r="M14" i="5"/>
  <c r="O13" i="5"/>
  <c r="M13" i="5"/>
  <c r="O12" i="5"/>
  <c r="M12" i="5"/>
  <c r="O4" i="5"/>
  <c r="O5" i="5"/>
  <c r="O6" i="5"/>
  <c r="O7" i="5"/>
  <c r="M4" i="5"/>
  <c r="M5" i="5"/>
  <c r="M6" i="5"/>
  <c r="M7" i="5"/>
  <c r="D20" i="5"/>
  <c r="F20" i="5"/>
  <c r="D21" i="5"/>
  <c r="F21" i="5"/>
  <c r="F23" i="5"/>
  <c r="D23" i="5"/>
  <c r="D22" i="5"/>
  <c r="F22" i="5"/>
  <c r="D25" i="5"/>
  <c r="F25" i="5"/>
  <c r="D24" i="5"/>
  <c r="F24" i="5"/>
  <c r="L47" i="5" l="1"/>
  <c r="K47" i="5"/>
  <c r="J47" i="5"/>
  <c r="L46" i="5"/>
  <c r="K46" i="5"/>
  <c r="J46" i="5"/>
  <c r="L45" i="5"/>
  <c r="K45" i="5"/>
  <c r="J45" i="5"/>
  <c r="L44" i="5"/>
  <c r="K44" i="5"/>
  <c r="J44" i="5"/>
  <c r="L39" i="5"/>
  <c r="K39" i="5"/>
  <c r="J39" i="5"/>
  <c r="L38" i="5"/>
  <c r="K38" i="5"/>
  <c r="J38" i="5"/>
  <c r="L37" i="5"/>
  <c r="K37" i="5"/>
  <c r="J37" i="5"/>
  <c r="L36" i="5"/>
  <c r="K36" i="5"/>
  <c r="J36" i="5"/>
  <c r="L31" i="5"/>
  <c r="K31" i="5"/>
  <c r="J31" i="5"/>
  <c r="L30" i="5"/>
  <c r="K30" i="5"/>
  <c r="J30" i="5"/>
  <c r="L29" i="5"/>
  <c r="K29" i="5"/>
  <c r="J29" i="5"/>
  <c r="L28" i="5"/>
  <c r="K28" i="5"/>
  <c r="J28" i="5"/>
  <c r="L23" i="5"/>
  <c r="K23" i="5"/>
  <c r="J23" i="5"/>
  <c r="L22" i="5"/>
  <c r="K22" i="5"/>
  <c r="J22" i="5"/>
  <c r="L21" i="5"/>
  <c r="K21" i="5"/>
  <c r="J21" i="5"/>
  <c r="L20" i="5"/>
  <c r="K20" i="5"/>
  <c r="J20" i="5"/>
  <c r="L15" i="5"/>
  <c r="K15" i="5"/>
  <c r="J15" i="5"/>
  <c r="L14" i="5"/>
  <c r="K14" i="5"/>
  <c r="J14" i="5"/>
  <c r="L13" i="5"/>
  <c r="K13" i="5"/>
  <c r="J13" i="5"/>
  <c r="L12" i="5"/>
  <c r="K12" i="5"/>
  <c r="J12" i="5"/>
  <c r="P21" i="5" l="1"/>
  <c r="P29" i="5"/>
  <c r="P37" i="5"/>
  <c r="P45" i="5"/>
  <c r="P36" i="5"/>
  <c r="P23" i="5"/>
  <c r="P47" i="5"/>
  <c r="P44" i="5"/>
  <c r="P20" i="5"/>
  <c r="P28" i="5"/>
  <c r="P31" i="5"/>
  <c r="P39" i="5"/>
  <c r="P30" i="5"/>
  <c r="P38" i="5"/>
  <c r="P46" i="5"/>
  <c r="P22" i="5"/>
  <c r="P12" i="5"/>
  <c r="P14" i="5"/>
  <c r="P13" i="5"/>
  <c r="P15" i="5"/>
  <c r="K7" i="5"/>
  <c r="K6" i="5"/>
  <c r="K5" i="5"/>
  <c r="K4" i="5"/>
  <c r="L7" i="5"/>
  <c r="L6" i="5"/>
  <c r="L5" i="5"/>
  <c r="L4" i="5"/>
  <c r="J7" i="5"/>
  <c r="J6" i="5"/>
  <c r="J5" i="5"/>
  <c r="J4" i="5"/>
  <c r="U47" i="5" l="1"/>
  <c r="U46" i="5"/>
  <c r="U45" i="5"/>
  <c r="U44" i="5"/>
  <c r="U39" i="5"/>
  <c r="U38" i="5"/>
  <c r="U37" i="5"/>
  <c r="U36" i="5"/>
  <c r="U31" i="5"/>
  <c r="U30" i="5"/>
  <c r="U29" i="5"/>
  <c r="U28" i="5"/>
  <c r="U23" i="5"/>
  <c r="U22" i="5"/>
  <c r="U21" i="5"/>
  <c r="U20" i="5"/>
  <c r="U15" i="5"/>
  <c r="U14" i="5"/>
  <c r="U13" i="5"/>
  <c r="U12" i="5"/>
  <c r="U7" i="5"/>
  <c r="U6" i="5"/>
  <c r="U5" i="5"/>
  <c r="U4" i="5"/>
  <c r="V3" i="5" l="1"/>
  <c r="F40" i="5" l="1"/>
  <c r="D40" i="5"/>
  <c r="F41" i="5"/>
  <c r="D41" i="5"/>
  <c r="F38" i="5"/>
  <c r="D38" i="5"/>
  <c r="D39" i="5"/>
  <c r="F39" i="5"/>
  <c r="F37" i="5"/>
  <c r="D37" i="5"/>
  <c r="F36" i="5"/>
  <c r="D36" i="5"/>
  <c r="F48" i="5"/>
  <c r="D48" i="5"/>
  <c r="F49" i="5"/>
  <c r="D49" i="5"/>
  <c r="D47" i="5"/>
  <c r="F47" i="5"/>
  <c r="F46" i="5"/>
  <c r="D46" i="5"/>
  <c r="F45" i="5"/>
  <c r="D45" i="5"/>
  <c r="F44" i="5"/>
  <c r="D44" i="5"/>
  <c r="F32" i="5"/>
  <c r="D32" i="5"/>
  <c r="F33" i="5"/>
  <c r="D33" i="5"/>
  <c r="D30" i="5"/>
  <c r="F30" i="5"/>
  <c r="F31" i="5"/>
  <c r="D31" i="5"/>
  <c r="F29" i="5"/>
  <c r="D29" i="5"/>
  <c r="F28" i="5"/>
  <c r="D28" i="5"/>
  <c r="F17" i="5"/>
  <c r="D17" i="5"/>
  <c r="F16" i="5"/>
  <c r="D16" i="5"/>
  <c r="D14" i="5"/>
  <c r="F14" i="5"/>
  <c r="F15" i="5"/>
  <c r="D15" i="5"/>
  <c r="F13" i="5"/>
  <c r="D13" i="5"/>
  <c r="F12" i="5"/>
  <c r="D12" i="5"/>
  <c r="F9" i="5"/>
  <c r="D9" i="5"/>
  <c r="F8" i="5"/>
  <c r="D8" i="5"/>
  <c r="D7" i="5"/>
  <c r="F7" i="5"/>
  <c r="F6" i="5"/>
  <c r="D6" i="5"/>
  <c r="F5" i="5"/>
  <c r="D5" i="5"/>
  <c r="F4" i="5"/>
  <c r="D4" i="5"/>
  <c r="P4" i="5" l="1"/>
  <c r="P5" i="5"/>
  <c r="P6" i="5"/>
  <c r="P7" i="5"/>
  <c r="Q12" i="5" l="1"/>
  <c r="R12" i="5" s="1"/>
  <c r="Q14" i="5"/>
  <c r="R14" i="5" s="1"/>
  <c r="Q21" i="5"/>
  <c r="R21" i="5" s="1"/>
  <c r="Q23" i="5"/>
  <c r="R23" i="5" s="1"/>
  <c r="Q13" i="5"/>
  <c r="R13" i="5" s="1"/>
  <c r="Q4" i="5"/>
  <c r="R4" i="5" s="1"/>
  <c r="Q15" i="5"/>
  <c r="R15" i="5" s="1"/>
  <c r="Q36" i="5"/>
  <c r="R36" i="5" s="1"/>
  <c r="Q37" i="5"/>
  <c r="R37" i="5" s="1"/>
  <c r="Q38" i="5"/>
  <c r="R38" i="5" s="1"/>
  <c r="Q39" i="5"/>
  <c r="R39" i="5" s="1"/>
  <c r="Q44" i="5"/>
  <c r="R44" i="5" s="1"/>
  <c r="Q45" i="5"/>
  <c r="R45" i="5" s="1"/>
  <c r="Q46" i="5"/>
  <c r="R46" i="5" s="1"/>
  <c r="Q47" i="5"/>
  <c r="R47" i="5" s="1"/>
  <c r="Q28" i="5"/>
  <c r="R28" i="5" s="1"/>
  <c r="Q29" i="5"/>
  <c r="R29" i="5" s="1"/>
  <c r="Q30" i="5"/>
  <c r="R30" i="5" s="1"/>
  <c r="Q31" i="5"/>
  <c r="R31" i="5" s="1"/>
  <c r="Q20" i="5"/>
  <c r="R20" i="5" s="1"/>
  <c r="Q22" i="5"/>
  <c r="R22" i="5" s="1"/>
  <c r="Q5" i="5"/>
  <c r="R5" i="5" s="1"/>
  <c r="Q7" i="5"/>
  <c r="R7" i="5" s="1"/>
  <c r="Q6" i="5"/>
  <c r="R6" i="5" s="1"/>
  <c r="S15" i="5" l="1"/>
  <c r="T15" i="5" s="1"/>
  <c r="X15" i="5" s="1"/>
  <c r="S5" i="5"/>
  <c r="T5" i="5" s="1"/>
  <c r="X5" i="5" s="1"/>
  <c r="S14" i="5"/>
  <c r="T14" i="5" s="1"/>
  <c r="X14" i="5" s="1"/>
  <c r="S13" i="5"/>
  <c r="T13" i="5" s="1"/>
  <c r="X13" i="5" s="1"/>
  <c r="S12" i="5"/>
  <c r="T12" i="5" s="1"/>
  <c r="S6" i="5"/>
  <c r="T6" i="5" s="1"/>
  <c r="X6" i="5" s="1"/>
  <c r="S20" i="5"/>
  <c r="T20" i="5" s="1"/>
  <c r="S22" i="5"/>
  <c r="T22" i="5" s="1"/>
  <c r="X22" i="5" s="1"/>
  <c r="S31" i="5"/>
  <c r="T31" i="5" s="1"/>
  <c r="X31" i="5" s="1"/>
  <c r="S47" i="5"/>
  <c r="T47" i="5" s="1"/>
  <c r="X47" i="5" s="1"/>
  <c r="S39" i="5"/>
  <c r="T39" i="5" s="1"/>
  <c r="X39" i="5" s="1"/>
  <c r="S23" i="5"/>
  <c r="T23" i="5" s="1"/>
  <c r="X23" i="5" s="1"/>
  <c r="S21" i="5"/>
  <c r="T21" i="5" s="1"/>
  <c r="X21" i="5" s="1"/>
  <c r="S30" i="5"/>
  <c r="T30" i="5" s="1"/>
  <c r="X30" i="5" s="1"/>
  <c r="S29" i="5"/>
  <c r="T29" i="5" s="1"/>
  <c r="X29" i="5" s="1"/>
  <c r="S28" i="5"/>
  <c r="T28" i="5" s="1"/>
  <c r="S46" i="5"/>
  <c r="T46" i="5" s="1"/>
  <c r="X46" i="5" s="1"/>
  <c r="S45" i="5"/>
  <c r="T45" i="5" s="1"/>
  <c r="X45" i="5" s="1"/>
  <c r="S44" i="5"/>
  <c r="T44" i="5" s="1"/>
  <c r="S38" i="5"/>
  <c r="T38" i="5" s="1"/>
  <c r="X38" i="5" s="1"/>
  <c r="S37" i="5"/>
  <c r="T37" i="5" s="1"/>
  <c r="X37" i="5" s="1"/>
  <c r="S36" i="5"/>
  <c r="T36" i="5" s="1"/>
  <c r="S7" i="5"/>
  <c r="T7" i="5" s="1"/>
  <c r="X7" i="5" s="1"/>
  <c r="S4" i="5"/>
  <c r="T4" i="5" s="1"/>
  <c r="U27" i="5" l="1"/>
  <c r="U43" i="5"/>
  <c r="U11" i="5"/>
  <c r="U35" i="5"/>
  <c r="U3" i="5"/>
  <c r="U19" i="5"/>
  <c r="X4" i="5"/>
  <c r="AA5" i="5" s="1"/>
  <c r="X44" i="5"/>
  <c r="X36" i="5"/>
  <c r="X20" i="5"/>
  <c r="AA20" i="5" s="1"/>
  <c r="X12" i="5"/>
  <c r="X28" i="5"/>
  <c r="AA6" i="5" l="1"/>
  <c r="AB6" i="5" s="1"/>
  <c r="AA4" i="5"/>
  <c r="AA7" i="5"/>
  <c r="AA15" i="5"/>
  <c r="AA14" i="5"/>
  <c r="AA12" i="5"/>
  <c r="AA13" i="5"/>
  <c r="AA37" i="5"/>
  <c r="AA36" i="5"/>
  <c r="AA39" i="5"/>
  <c r="AA38" i="5"/>
  <c r="AA30" i="5"/>
  <c r="AA29" i="5"/>
  <c r="AA28" i="5"/>
  <c r="AA31" i="5"/>
  <c r="AA21" i="5"/>
  <c r="AA22" i="5"/>
  <c r="AA23" i="5"/>
  <c r="AA45" i="5"/>
  <c r="AA44" i="5"/>
  <c r="AA47" i="5"/>
  <c r="AA46" i="5"/>
  <c r="Z7" i="5" l="1" a="1"/>
  <c r="Z7" i="5" s="1"/>
  <c r="Z4" i="5" a="1"/>
  <c r="Z4" i="5" s="1"/>
  <c r="AN11" i="5" s="1"/>
  <c r="Z6" i="5" a="1"/>
  <c r="Z6" i="5" s="1"/>
  <c r="Z5" i="5" a="1"/>
  <c r="Z5" i="5" s="1"/>
  <c r="AN6" i="5" s="1"/>
  <c r="Z45" i="5" a="1"/>
  <c r="Z45" i="5" s="1"/>
  <c r="AN37" i="5" s="1"/>
  <c r="AT36" i="5" s="1"/>
  <c r="AX33" i="5" s="1"/>
  <c r="Z13" i="5" a="1"/>
  <c r="Z13" i="5" s="1"/>
  <c r="AN7" i="5" s="1"/>
  <c r="AT27" i="5" s="1"/>
  <c r="Z21" i="5" a="1"/>
  <c r="Z21" i="5" s="1"/>
  <c r="AN12" i="5" s="1"/>
  <c r="Z47" i="5" a="1"/>
  <c r="Z47" i="5" s="1"/>
  <c r="Z23" i="5" a="1"/>
  <c r="Z23" i="5" s="1"/>
  <c r="Z28" i="5" a="1"/>
  <c r="Z28" i="5" s="1"/>
  <c r="AN36" i="5" s="1"/>
  <c r="Z46" i="5" a="1"/>
  <c r="Z46" i="5" s="1"/>
  <c r="AB46" i="5"/>
  <c r="Z39" i="5" a="1"/>
  <c r="Z39" i="5" s="1"/>
  <c r="Z44" i="5" a="1"/>
  <c r="Z44" i="5" s="1"/>
  <c r="AN31" i="5" s="1"/>
  <c r="Z22" i="5" a="1"/>
  <c r="Z22" i="5" s="1"/>
  <c r="AB22" i="5"/>
  <c r="Z29" i="5" a="1"/>
  <c r="Z29" i="5" s="1"/>
  <c r="AN26" i="5" s="1"/>
  <c r="Z36" i="5" a="1"/>
  <c r="Z36" i="5" s="1"/>
  <c r="AN41" i="5" s="1"/>
  <c r="Z12" i="5" a="1"/>
  <c r="Z12" i="5" s="1"/>
  <c r="AN21" i="5" s="1"/>
  <c r="AT18" i="5" s="1"/>
  <c r="Z30" i="5" a="1"/>
  <c r="Z30" i="5" s="1"/>
  <c r="AB30" i="5"/>
  <c r="Z37" i="5" a="1"/>
  <c r="Z37" i="5" s="1"/>
  <c r="AN27" i="5" s="1"/>
  <c r="AT10" i="5" s="1"/>
  <c r="AB14" i="5"/>
  <c r="Z14" i="5" a="1"/>
  <c r="Z14" i="5" s="1"/>
  <c r="Z20" i="5" a="1"/>
  <c r="Z20" i="5" s="1"/>
  <c r="AN16" i="5" s="1"/>
  <c r="AT28" i="5" s="1"/>
  <c r="AX32" i="5" s="1"/>
  <c r="BB24" i="5" s="1"/>
  <c r="Z31" i="5" a="1"/>
  <c r="Z31" i="5" s="1"/>
  <c r="Z38" i="5" a="1"/>
  <c r="Z38" i="5" s="1"/>
  <c r="AB38" i="5"/>
  <c r="Z15" i="5" a="1"/>
  <c r="Z15" i="5" s="1"/>
  <c r="AT19" i="5" l="1"/>
  <c r="AX15" i="5" s="1"/>
  <c r="AC22" i="5"/>
  <c r="AL15" i="5"/>
  <c r="AL14" i="5"/>
  <c r="AK19" i="5"/>
  <c r="AK15" i="5"/>
  <c r="AJ12" i="5"/>
  <c r="AJ16" i="5"/>
  <c r="AI9" i="5"/>
  <c r="AJ6" i="5"/>
  <c r="AK20" i="5"/>
  <c r="AJ18" i="5"/>
  <c r="AI16" i="5"/>
  <c r="AI11" i="5"/>
  <c r="AJ7" i="5"/>
  <c r="AI15" i="5"/>
  <c r="AJ20" i="5"/>
  <c r="AI14" i="5"/>
  <c r="AJ19" i="5"/>
  <c r="AJ9" i="5"/>
  <c r="AI12" i="5"/>
  <c r="AL8" i="5"/>
  <c r="AL20" i="5"/>
  <c r="AL16" i="5"/>
  <c r="AL7" i="5"/>
  <c r="AK18" i="5"/>
  <c r="AK14" i="5"/>
  <c r="AL6" i="5"/>
  <c r="AK17" i="5"/>
  <c r="AK13" i="5"/>
  <c r="AK12" i="5"/>
  <c r="AJ8" i="5"/>
  <c r="AI19" i="5"/>
  <c r="AJ11" i="5"/>
  <c r="AI18" i="5"/>
  <c r="AJ15" i="5"/>
  <c r="AJ10" i="5"/>
  <c r="AI17" i="5"/>
  <c r="AJ14" i="5"/>
  <c r="AI20" i="5"/>
  <c r="AI13" i="5"/>
  <c r="AL17" i="5"/>
  <c r="AK11" i="5"/>
  <c r="AK7" i="5"/>
  <c r="AK6" i="5"/>
  <c r="AL19" i="5"/>
  <c r="AL10" i="5"/>
  <c r="AL18" i="5"/>
  <c r="AL9" i="5"/>
  <c r="AK16" i="5"/>
  <c r="AK8" i="5"/>
  <c r="AL12" i="5"/>
  <c r="AI6" i="5"/>
  <c r="AL11" i="5"/>
  <c r="AK10" i="5"/>
  <c r="AK9" i="5"/>
  <c r="AI8" i="5"/>
  <c r="AL13" i="5"/>
  <c r="AI7" i="5"/>
  <c r="AC30" i="5"/>
  <c r="AC46" i="5"/>
  <c r="AC14" i="5"/>
  <c r="AC38" i="5"/>
  <c r="AC6" i="5"/>
  <c r="AJ17" i="5"/>
  <c r="AI10" i="5"/>
  <c r="AJ13" i="5"/>
  <c r="AE7" i="5" l="1" a="1"/>
  <c r="AE7" i="5" s="1"/>
  <c r="AE8" i="5" a="1"/>
  <c r="AE8" i="5" s="1"/>
  <c r="AE9" i="5" a="1"/>
  <c r="AE9" i="5" s="1"/>
  <c r="AE11" i="5" a="1"/>
  <c r="AE11" i="5" s="1"/>
  <c r="AE12" i="5" a="1"/>
  <c r="AE12" i="5" s="1"/>
  <c r="AE13" i="5" a="1"/>
  <c r="AE13" i="5" s="1"/>
  <c r="AE14" i="5" a="1"/>
  <c r="AE14" i="5" s="1"/>
  <c r="AE4" i="5" l="1"/>
  <c r="AG6" i="5"/>
  <c r="AG30" i="5"/>
  <c r="AG22" i="5"/>
  <c r="AG14" i="5"/>
  <c r="AG38" i="5"/>
  <c r="AG46" i="5"/>
  <c r="AH22" i="5" l="1"/>
  <c r="AI22" i="5" l="1"/>
  <c r="AN22" i="5" s="1"/>
  <c r="AJ22" i="5"/>
  <c r="AN17" i="5" s="1"/>
  <c r="AK22" i="5"/>
  <c r="AN42" i="5" s="1"/>
  <c r="AT37" i="5" s="1"/>
  <c r="AL22" i="5"/>
  <c r="AN32" i="5" s="1"/>
  <c r="AT9" i="5" s="1"/>
  <c r="AX14" i="5" s="1"/>
  <c r="BB2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W. de Groot</author>
  </authors>
  <commentList>
    <comment ref="U1" authorId="0" shapeId="0" xr:uid="{00000000-0006-0000-0000-000001000000}">
      <text>
        <r>
          <rPr>
            <sz val="11"/>
            <color indexed="81"/>
            <rFont val="Calibri"/>
            <family val="2"/>
          </rPr>
          <t>Staan twee teams exact even hoog, dan wordt er geloot. Excel geeft hieronder weer welke teams moeten loten.
* Typ bij de winnaar van de loting een 1</t>
        </r>
      </text>
    </comment>
    <comment ref="AC1" authorId="0" shapeId="0" xr:uid="{00000000-0006-0000-0000-000002000000}">
      <text>
        <r>
          <rPr>
            <sz val="11"/>
            <color indexed="81"/>
            <rFont val="Calibri"/>
            <family val="2"/>
          </rPr>
          <t>Staan twee teams exact even hoog als derde van hun groep, dan wijst UEFA het team aan volgens 'fair play'.
Typ naast dat team een 1</t>
        </r>
      </text>
    </comment>
    <comment ref="J3" authorId="0" shapeId="0" xr:uid="{00000000-0006-0000-0000-000003000000}">
      <text>
        <r>
          <rPr>
            <sz val="11"/>
            <color indexed="81"/>
            <rFont val="Calibri"/>
            <family val="2"/>
          </rPr>
          <t>Aantal gespeelde wedstrijden.</t>
        </r>
      </text>
    </comment>
    <comment ref="K3" authorId="0" shapeId="0" xr:uid="{00000000-0006-0000-0000-000004000000}">
      <text>
        <r>
          <rPr>
            <sz val="11"/>
            <color indexed="81"/>
            <rFont val="Calibri"/>
            <family val="2"/>
          </rPr>
          <t>Aantal gewonnen wedstrijden.</t>
        </r>
      </text>
    </comment>
    <comment ref="L3" authorId="0" shapeId="0" xr:uid="{00000000-0006-0000-0000-000005000000}">
      <text>
        <r>
          <rPr>
            <sz val="11"/>
            <color indexed="81"/>
            <rFont val="Calibri"/>
            <family val="2"/>
          </rPr>
          <t>Aantal gelijk gespeelde wedstrijden.</t>
        </r>
      </text>
    </comment>
    <comment ref="M3" authorId="0" shapeId="0" xr:uid="{00000000-0006-0000-0000-000006000000}">
      <text>
        <r>
          <rPr>
            <sz val="11"/>
            <color indexed="81"/>
            <rFont val="Calibri"/>
            <family val="2"/>
          </rPr>
          <t>Totaal 
doelpunten vóór.</t>
        </r>
      </text>
    </comment>
    <comment ref="O3" authorId="0" shapeId="0" xr:uid="{00000000-0006-0000-0000-000007000000}">
      <text>
        <r>
          <rPr>
            <sz val="11"/>
            <color indexed="81"/>
            <rFont val="Calibri"/>
            <family val="2"/>
          </rPr>
          <t>Totaal 
doelpunten tegen.</t>
        </r>
      </text>
    </comment>
    <comment ref="P3" authorId="0" shapeId="0" xr:uid="{00000000-0006-0000-0000-000008000000}">
      <text>
        <r>
          <rPr>
            <sz val="11"/>
            <color indexed="81"/>
            <rFont val="Calibri"/>
            <family val="2"/>
          </rPr>
          <t>Voorlopig puntentotaal:
gewonnen wedstrijden x 3
plus gelijkgespeelde x 1.</t>
        </r>
      </text>
    </comment>
    <comment ref="Q3" authorId="0" shapeId="0" xr:uid="{00000000-0006-0000-0000-000009000000}">
      <text>
        <r>
          <rPr>
            <sz val="11"/>
            <color indexed="81"/>
            <rFont val="Calibri"/>
            <family val="2"/>
          </rPr>
          <t>Doelsaldo:
goals vóór min goals tegen.</t>
        </r>
      </text>
    </comment>
    <comment ref="R3" authorId="0" shapeId="0" xr:uid="{00000000-0006-0000-0000-00000A000000}">
      <text>
        <r>
          <rPr>
            <sz val="11"/>
            <color indexed="81"/>
            <rFont val="Calibri"/>
            <family val="2"/>
          </rPr>
          <t xml:space="preserve">Rangorde
Voor het geval twee teams even hoog staan, gelden spelregels (zie onderaan). Met een aantal cijfers achter de komma bepaalt Excel de rangorde binnen de groep, </t>
        </r>
      </text>
    </comment>
    <comment ref="T3" authorId="0" shapeId="0" xr:uid="{00000000-0006-0000-0000-00000B000000}">
      <text>
        <r>
          <rPr>
            <sz val="11"/>
            <color indexed="81"/>
            <rFont val="Calibri"/>
            <family val="2"/>
          </rPr>
          <t xml:space="preserve">Rangorde
Voor het geval twee teams even hoog staan, gelden spelregels (zie onderaan) Met een aantal cijfers achter de komma bepaalt Excel de rangorde binnen de groep, </t>
        </r>
      </text>
    </comment>
    <comment ref="AE3" authorId="0" shapeId="0" xr:uid="{00000000-0006-0000-0000-00000C000000}">
      <text>
        <r>
          <rPr>
            <sz val="11"/>
            <color indexed="81"/>
            <rFont val="Calibri"/>
            <family val="2"/>
          </rPr>
          <t>Staan twee teams exact even hoog als derde van hun groep, dan wijst UEFA het team aan volgens 'fair play'.
U ziet dan hieronder om welke teams het gaat.
Typ een 1 in het vakje naast de teams die doorgaan.</t>
        </r>
      </text>
    </comment>
  </commentList>
</comments>
</file>

<file path=xl/sharedStrings.xml><?xml version="1.0" encoding="utf-8"?>
<sst xmlns="http://schemas.openxmlformats.org/spreadsheetml/2006/main" count="316" uniqueCount="98">
  <si>
    <t>Landen</t>
  </si>
  <si>
    <t>Groepsronde</t>
  </si>
  <si>
    <t>Uitslag</t>
  </si>
  <si>
    <t>Stand Eerste ronde</t>
  </si>
  <si>
    <t>Achtste finale</t>
  </si>
  <si>
    <t>Kwart finale</t>
  </si>
  <si>
    <t>Datum</t>
  </si>
  <si>
    <t>Stad</t>
  </si>
  <si>
    <t>Groep A</t>
  </si>
  <si>
    <t>Sp</t>
  </si>
  <si>
    <t>Win</t>
  </si>
  <si>
    <t>Gel</t>
  </si>
  <si>
    <t>+</t>
  </si>
  <si>
    <t>-</t>
  </si>
  <si>
    <t>pnt</t>
  </si>
  <si>
    <t>ds</t>
  </si>
  <si>
    <t>Pnt</t>
  </si>
  <si>
    <t>onderling</t>
  </si>
  <si>
    <t>Turkije</t>
  </si>
  <si>
    <t>Rome</t>
  </si>
  <si>
    <t>Italië</t>
  </si>
  <si>
    <t>Baku</t>
  </si>
  <si>
    <t>Typ bij één</t>
  </si>
  <si>
    <t>Winr B vs</t>
  </si>
  <si>
    <t>Winr C vs</t>
  </si>
  <si>
    <t>Winr E vs</t>
  </si>
  <si>
    <t>Winr F vs</t>
  </si>
  <si>
    <t>Amsterdam</t>
  </si>
  <si>
    <t>Wales</t>
  </si>
  <si>
    <t>team een 1</t>
  </si>
  <si>
    <t>ABCD</t>
  </si>
  <si>
    <t>Zwitserland</t>
  </si>
  <si>
    <t>ABCE</t>
  </si>
  <si>
    <t>ABCF</t>
  </si>
  <si>
    <t>▼</t>
  </si>
  <si>
    <t>Sint-Petersburg</t>
  </si>
  <si>
    <t>ABDE</t>
  </si>
  <si>
    <t>ABDF</t>
  </si>
  <si>
    <t>Londen</t>
  </si>
  <si>
    <t>Groep B</t>
  </si>
  <si>
    <t>ABEF</t>
  </si>
  <si>
    <t>Halve finale</t>
  </si>
  <si>
    <t>Denemarken</t>
  </si>
  <si>
    <t>Kopenhagen</t>
  </si>
  <si>
    <t>ACDE</t>
  </si>
  <si>
    <t>Finland</t>
  </si>
  <si>
    <t>ACDF</t>
  </si>
  <si>
    <t>België</t>
  </si>
  <si>
    <t>ACEF</t>
  </si>
  <si>
    <t>Rusland</t>
  </si>
  <si>
    <t>ADEF</t>
  </si>
  <si>
    <t>Budapest</t>
  </si>
  <si>
    <t>BCDE</t>
  </si>
  <si>
    <t>BCDF</t>
  </si>
  <si>
    <t>München</t>
  </si>
  <si>
    <t>▲</t>
  </si>
  <si>
    <t>BCEF</t>
  </si>
  <si>
    <t>Groep C</t>
  </si>
  <si>
    <t>BDEF</t>
  </si>
  <si>
    <t>Oostenrijk</t>
  </si>
  <si>
    <t>Boekarest</t>
  </si>
  <si>
    <t>CDEF</t>
  </si>
  <si>
    <t>Bilbao</t>
  </si>
  <si>
    <t>Finale</t>
  </si>
  <si>
    <t>Play-off D</t>
  </si>
  <si>
    <t>Nederland</t>
  </si>
  <si>
    <t>Oekraïne</t>
  </si>
  <si>
    <t>Groep D</t>
  </si>
  <si>
    <t>Engeland</t>
  </si>
  <si>
    <t>Kroatië</t>
  </si>
  <si>
    <t>Glasgow</t>
  </si>
  <si>
    <t>Play-off C</t>
  </si>
  <si>
    <t>Tsjechië</t>
  </si>
  <si>
    <t>Groep E</t>
  </si>
  <si>
    <t>Dublin</t>
  </si>
  <si>
    <t>Polen</t>
  </si>
  <si>
    <t>Play-off B</t>
  </si>
  <si>
    <t>Spanje</t>
  </si>
  <si>
    <t>Zweden</t>
  </si>
  <si>
    <t xml:space="preserve">Groep F </t>
  </si>
  <si>
    <t>Groep F</t>
  </si>
  <si>
    <t>Play-off A</t>
  </si>
  <si>
    <t>Portugal</t>
  </si>
  <si>
    <t>Frankrijk</t>
  </si>
  <si>
    <t>Duitsland</t>
  </si>
  <si>
    <t>Volgorde als 2 of 3 teams gelijk eindigen</t>
  </si>
  <si>
    <t>1. De meeste wedstrijdpunten uit alle groepswedstrijden,</t>
  </si>
  <si>
    <t>2. Het doelpuntensaldo over alle groepswedstrijden,</t>
  </si>
  <si>
    <t>3. Meeste doelpunten gescoord in alle groepswedstrijden,</t>
  </si>
  <si>
    <t xml:space="preserve">Staan twee of meer teams hiermee nog gelijk, dan is de rangorde: </t>
  </si>
  <si>
    <t>4. Doelsaldo verkregen bij de onderlinge wedstrijden tussen</t>
  </si>
  <si>
    <t xml:space="preserve">de gelijk eindigende teams </t>
  </si>
  <si>
    <t>5. Hoogste aantal gescoorde doelpunten verkregen bij</t>
  </si>
  <si>
    <t>de onderlinge wedstrijden tussen de teams</t>
  </si>
  <si>
    <t>Dit wordt allemaal met formules berekend.</t>
  </si>
  <si>
    <t xml:space="preserve">6. Loting door het organiserend comité van de FIFA World Cup. </t>
  </si>
  <si>
    <t>Moet er geloot worden, dan lichten in kolom U de betreffende</t>
  </si>
  <si>
    <t>landen op en verschijnen er in kolom V vakjes.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</si>
</sst>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-;_-* #,##0.00\-;_-* &quot;-&quot;??_-;_-@_-"/>
    <numFmt numFmtId="165" formatCode="0.000000"/>
    <numFmt numFmtId="166" formatCode="d/m"/>
    <numFmt numFmtId="167" formatCode="d\ mmmm"/>
    <numFmt numFmtId="168" formatCode="d/mm/yy"/>
    <numFmt numFmtId="169" formatCode="0.0000000000"/>
    <numFmt numFmtId="170" formatCode="0.0000"/>
    <numFmt numFmtId="171" formatCode="0.0000000"/>
    <numFmt numFmtId="172" formatCode="0.00000000"/>
    <numFmt numFmtId="173" formatCode="0.00000000000000"/>
    <numFmt numFmtId="174" formatCode="d\ mmmm\ h:mm"/>
    <numFmt numFmtId="175" formatCode="0.000000000"/>
  </numFmts>
  <fonts count="15" x14ac:knownFonts="1">
    <font>
      <sz val="11"/>
      <color theme="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36"/>
      <name val="MS Sans Serif"/>
      <family val="2"/>
    </font>
    <font>
      <b/>
      <u/>
      <sz val="11"/>
      <color indexed="12"/>
      <name val="Calibri"/>
      <family val="2"/>
      <scheme val="minor"/>
    </font>
    <font>
      <sz val="10"/>
      <name val="MS Sans Serif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indexed="81"/>
      <name val="Calibri"/>
      <family val="2"/>
    </font>
    <font>
      <sz val="11"/>
      <color rgb="FFFFFFFF"/>
      <name val="Calibri"/>
      <family val="2"/>
    </font>
    <font>
      <u/>
      <sz val="10"/>
      <color indexed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8000"/>
        <bgColor rgb="FF000000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indexed="64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</cellStyleXfs>
  <cellXfs count="229">
    <xf numFmtId="0" fontId="0" fillId="0" borderId="0" xfId="0"/>
    <xf numFmtId="1" fontId="7" fillId="3" borderId="2" xfId="6" applyNumberFormat="1" applyFont="1" applyFill="1" applyBorder="1" applyProtection="1">
      <protection hidden="1"/>
    </xf>
    <xf numFmtId="1" fontId="7" fillId="3" borderId="7" xfId="6" applyNumberFormat="1" applyFont="1" applyFill="1" applyBorder="1" applyProtection="1">
      <protection hidden="1"/>
    </xf>
    <xf numFmtId="1" fontId="7" fillId="3" borderId="1" xfId="6" applyNumberFormat="1" applyFont="1" applyFill="1" applyBorder="1" applyProtection="1">
      <protection hidden="1"/>
    </xf>
    <xf numFmtId="0" fontId="7" fillId="7" borderId="0" xfId="6" applyFont="1" applyFill="1" applyAlignment="1" applyProtection="1">
      <alignment horizontal="center"/>
      <protection hidden="1"/>
    </xf>
    <xf numFmtId="0" fontId="6" fillId="3" borderId="4" xfId="6" applyFont="1" applyFill="1" applyBorder="1" applyProtection="1">
      <protection hidden="1"/>
    </xf>
    <xf numFmtId="1" fontId="7" fillId="3" borderId="9" xfId="7" applyNumberFormat="1" applyFont="1" applyFill="1" applyBorder="1" applyProtection="1">
      <protection hidden="1"/>
    </xf>
    <xf numFmtId="1" fontId="7" fillId="3" borderId="1" xfId="7" applyNumberFormat="1" applyFont="1" applyFill="1" applyBorder="1" applyProtection="1">
      <protection hidden="1"/>
    </xf>
    <xf numFmtId="0" fontId="7" fillId="7" borderId="0" xfId="6" applyFont="1" applyFill="1" applyProtection="1">
      <protection hidden="1"/>
    </xf>
    <xf numFmtId="0" fontId="6" fillId="3" borderId="9" xfId="6" applyFont="1" applyFill="1" applyBorder="1" applyProtection="1">
      <protection hidden="1"/>
    </xf>
    <xf numFmtId="0" fontId="7" fillId="4" borderId="11" xfId="6" applyFont="1" applyFill="1" applyBorder="1" applyAlignment="1" applyProtection="1">
      <alignment horizontal="center"/>
      <protection hidden="1"/>
    </xf>
    <xf numFmtId="0" fontId="7" fillId="4" borderId="10" xfId="6" applyFont="1" applyFill="1" applyBorder="1" applyAlignment="1" applyProtection="1">
      <alignment horizontal="center"/>
      <protection hidden="1"/>
    </xf>
    <xf numFmtId="0" fontId="7" fillId="4" borderId="9" xfId="6" applyFont="1" applyFill="1" applyBorder="1" applyAlignment="1" applyProtection="1">
      <alignment horizontal="center"/>
      <protection hidden="1"/>
    </xf>
    <xf numFmtId="1" fontId="7" fillId="4" borderId="10" xfId="6" applyNumberFormat="1" applyFont="1" applyFill="1" applyBorder="1" applyAlignment="1" applyProtection="1">
      <alignment horizontal="center"/>
      <protection hidden="1"/>
    </xf>
    <xf numFmtId="1" fontId="7" fillId="4" borderId="12" xfId="6" applyNumberFormat="1" applyFont="1" applyFill="1" applyBorder="1" applyAlignment="1" applyProtection="1">
      <alignment horizontal="right"/>
      <protection hidden="1"/>
    </xf>
    <xf numFmtId="0" fontId="6" fillId="4" borderId="12" xfId="6" applyFont="1" applyFill="1" applyBorder="1" applyAlignment="1" applyProtection="1">
      <alignment horizontal="center"/>
      <protection hidden="1"/>
    </xf>
    <xf numFmtId="1" fontId="7" fillId="4" borderId="6" xfId="6" applyNumberFormat="1" applyFont="1" applyFill="1" applyBorder="1" applyAlignment="1" applyProtection="1">
      <alignment horizontal="center"/>
      <protection hidden="1"/>
    </xf>
    <xf numFmtId="1" fontId="7" fillId="4" borderId="11" xfId="6" applyNumberFormat="1" applyFont="1" applyFill="1" applyBorder="1" applyAlignment="1" applyProtection="1">
      <alignment horizontal="center"/>
      <protection hidden="1"/>
    </xf>
    <xf numFmtId="1" fontId="7" fillId="4" borderId="9" xfId="6" applyNumberFormat="1" applyFont="1" applyFill="1" applyBorder="1" applyAlignment="1" applyProtection="1">
      <alignment horizontal="center"/>
      <protection hidden="1"/>
    </xf>
    <xf numFmtId="1" fontId="8" fillId="4" borderId="12" xfId="6" applyNumberFormat="1" applyFont="1" applyFill="1" applyBorder="1" applyAlignment="1" applyProtection="1">
      <alignment horizontal="right"/>
      <protection hidden="1"/>
    </xf>
    <xf numFmtId="170" fontId="7" fillId="4" borderId="12" xfId="4" applyNumberFormat="1" applyFont="1" applyFill="1" applyBorder="1" applyAlignment="1" applyProtection="1">
      <alignment horizontal="right"/>
      <protection hidden="1"/>
    </xf>
    <xf numFmtId="171" fontId="8" fillId="4" borderId="10" xfId="6" applyNumberFormat="1" applyFont="1" applyFill="1" applyBorder="1" applyAlignment="1" applyProtection="1">
      <alignment horizontal="right"/>
      <protection hidden="1"/>
    </xf>
    <xf numFmtId="165" fontId="8" fillId="4" borderId="12" xfId="6" applyNumberFormat="1" applyFont="1" applyFill="1" applyBorder="1" applyAlignment="1" applyProtection="1">
      <alignment horizontal="right"/>
      <protection hidden="1"/>
    </xf>
    <xf numFmtId="1" fontId="7" fillId="4" borderId="8" xfId="6" applyNumberFormat="1" applyFont="1" applyFill="1" applyBorder="1" applyAlignment="1" applyProtection="1">
      <alignment horizontal="center"/>
      <protection hidden="1"/>
    </xf>
    <xf numFmtId="1" fontId="7" fillId="4" borderId="0" xfId="6" applyNumberFormat="1" applyFont="1" applyFill="1" applyAlignment="1" applyProtection="1">
      <alignment horizontal="center"/>
      <protection hidden="1"/>
    </xf>
    <xf numFmtId="1" fontId="7" fillId="4" borderId="7" xfId="6" applyNumberFormat="1" applyFont="1" applyFill="1" applyBorder="1" applyAlignment="1" applyProtection="1">
      <alignment horizontal="center"/>
      <protection hidden="1"/>
    </xf>
    <xf numFmtId="1" fontId="8" fillId="4" borderId="13" xfId="6" applyNumberFormat="1" applyFont="1" applyFill="1" applyBorder="1" applyAlignment="1" applyProtection="1">
      <alignment horizontal="right"/>
      <protection hidden="1"/>
    </xf>
    <xf numFmtId="170" fontId="7" fillId="4" borderId="13" xfId="4" applyNumberFormat="1" applyFont="1" applyFill="1" applyBorder="1" applyAlignment="1" applyProtection="1">
      <alignment horizontal="right"/>
      <protection hidden="1"/>
    </xf>
    <xf numFmtId="171" fontId="8" fillId="4" borderId="0" xfId="6" applyNumberFormat="1" applyFont="1" applyFill="1" applyAlignment="1" applyProtection="1">
      <alignment horizontal="right"/>
      <protection hidden="1"/>
    </xf>
    <xf numFmtId="165" fontId="8" fillId="4" borderId="13" xfId="6" applyNumberFormat="1" applyFont="1" applyFill="1" applyBorder="1" applyAlignment="1" applyProtection="1">
      <alignment horizontal="right"/>
      <protection hidden="1"/>
    </xf>
    <xf numFmtId="1" fontId="7" fillId="4" borderId="3" xfId="6" applyNumberFormat="1" applyFont="1" applyFill="1" applyBorder="1" applyAlignment="1" applyProtection="1">
      <alignment horizontal="center"/>
      <protection hidden="1"/>
    </xf>
    <xf numFmtId="1" fontId="7" fillId="4" borderId="2" xfId="6" applyNumberFormat="1" applyFont="1" applyFill="1" applyBorder="1" applyAlignment="1" applyProtection="1">
      <alignment horizontal="center"/>
      <protection hidden="1"/>
    </xf>
    <xf numFmtId="1" fontId="7" fillId="4" borderId="1" xfId="6" applyNumberFormat="1" applyFont="1" applyFill="1" applyBorder="1" applyAlignment="1" applyProtection="1">
      <alignment horizontal="center"/>
      <protection hidden="1"/>
    </xf>
    <xf numFmtId="1" fontId="8" fillId="4" borderId="14" xfId="6" applyNumberFormat="1" applyFont="1" applyFill="1" applyBorder="1" applyAlignment="1" applyProtection="1">
      <alignment horizontal="right"/>
      <protection hidden="1"/>
    </xf>
    <xf numFmtId="170" fontId="7" fillId="4" borderId="14" xfId="4" applyNumberFormat="1" applyFont="1" applyFill="1" applyBorder="1" applyAlignment="1" applyProtection="1">
      <alignment horizontal="right"/>
      <protection hidden="1"/>
    </xf>
    <xf numFmtId="171" fontId="8" fillId="4" borderId="2" xfId="6" applyNumberFormat="1" applyFont="1" applyFill="1" applyBorder="1" applyAlignment="1" applyProtection="1">
      <alignment horizontal="right"/>
      <protection hidden="1"/>
    </xf>
    <xf numFmtId="165" fontId="8" fillId="4" borderId="14" xfId="6" applyNumberFormat="1" applyFont="1" applyFill="1" applyBorder="1" applyAlignment="1" applyProtection="1">
      <alignment horizontal="right"/>
      <protection hidden="1"/>
    </xf>
    <xf numFmtId="0" fontId="7" fillId="7" borderId="0" xfId="7" applyFont="1" applyFill="1" applyAlignment="1" applyProtection="1">
      <alignment horizontal="center"/>
      <protection hidden="1"/>
    </xf>
    <xf numFmtId="1" fontId="7" fillId="7" borderId="0" xfId="7" applyNumberFormat="1" applyFont="1" applyFill="1" applyAlignment="1" applyProtection="1">
      <alignment horizontal="center"/>
      <protection hidden="1"/>
    </xf>
    <xf numFmtId="165" fontId="7" fillId="7" borderId="0" xfId="6" applyNumberFormat="1" applyFont="1" applyFill="1" applyAlignment="1" applyProtection="1">
      <alignment horizontal="center"/>
      <protection hidden="1"/>
    </xf>
    <xf numFmtId="1" fontId="7" fillId="7" borderId="0" xfId="6" applyNumberFormat="1" applyFont="1" applyFill="1" applyProtection="1">
      <protection hidden="1"/>
    </xf>
    <xf numFmtId="1" fontId="7" fillId="7" borderId="0" xfId="6" applyNumberFormat="1" applyFont="1" applyFill="1" applyAlignment="1" applyProtection="1">
      <alignment horizontal="right"/>
      <protection hidden="1"/>
    </xf>
    <xf numFmtId="1" fontId="7" fillId="7" borderId="0" xfId="6" applyNumberFormat="1" applyFont="1" applyFill="1" applyAlignment="1" applyProtection="1">
      <alignment horizontal="center"/>
      <protection hidden="1"/>
    </xf>
    <xf numFmtId="0" fontId="11" fillId="7" borderId="0" xfId="6" applyFont="1" applyFill="1" applyProtection="1">
      <protection hidden="1"/>
    </xf>
    <xf numFmtId="165" fontId="6" fillId="4" borderId="11" xfId="6" applyNumberFormat="1" applyFont="1" applyFill="1" applyBorder="1" applyAlignment="1" applyProtection="1">
      <alignment horizontal="center"/>
      <protection hidden="1"/>
    </xf>
    <xf numFmtId="1" fontId="7" fillId="3" borderId="0" xfId="6" applyNumberFormat="1" applyFont="1" applyFill="1" applyBorder="1" applyProtection="1">
      <protection hidden="1"/>
    </xf>
    <xf numFmtId="0" fontId="7" fillId="7" borderId="0" xfId="6" applyFont="1" applyFill="1" applyBorder="1" applyAlignment="1" applyProtection="1">
      <alignment horizontal="center"/>
      <protection hidden="1"/>
    </xf>
    <xf numFmtId="0" fontId="9" fillId="7" borderId="0" xfId="6" applyFont="1" applyFill="1" applyBorder="1" applyAlignment="1" applyProtection="1">
      <alignment horizontal="left"/>
      <protection hidden="1"/>
    </xf>
    <xf numFmtId="0" fontId="6" fillId="4" borderId="5" xfId="5" applyFont="1" applyFill="1" applyBorder="1" applyProtection="1"/>
    <xf numFmtId="1" fontId="6" fillId="0" borderId="0" xfId="6" applyNumberFormat="1" applyFont="1" applyFill="1" applyAlignment="1" applyProtection="1">
      <alignment vertical="center"/>
    </xf>
    <xf numFmtId="1" fontId="6" fillId="0" borderId="0" xfId="6" applyNumberFormat="1" applyFont="1" applyFill="1" applyAlignment="1" applyProtection="1">
      <alignment horizontal="right" vertical="center"/>
    </xf>
    <xf numFmtId="0" fontId="0" fillId="0" borderId="0" xfId="0" applyProtection="1"/>
    <xf numFmtId="1" fontId="6" fillId="0" borderId="0" xfId="6" applyNumberFormat="1" applyFont="1" applyAlignment="1" applyProtection="1">
      <alignment horizontal="center" vertical="center"/>
    </xf>
    <xf numFmtId="165" fontId="6" fillId="0" borderId="0" xfId="6" applyNumberFormat="1" applyFont="1" applyAlignment="1" applyProtection="1">
      <alignment horizontal="center" vertical="center"/>
    </xf>
    <xf numFmtId="0" fontId="0" fillId="7" borderId="0" xfId="0" applyFill="1" applyProtection="1"/>
    <xf numFmtId="0" fontId="6" fillId="0" borderId="0" xfId="6" applyFont="1" applyFill="1" applyProtection="1"/>
    <xf numFmtId="0" fontId="7" fillId="3" borderId="15" xfId="6" applyFont="1" applyFill="1" applyBorder="1" applyAlignment="1" applyProtection="1"/>
    <xf numFmtId="0" fontId="8" fillId="7" borderId="0" xfId="6" applyFont="1" applyFill="1" applyBorder="1" applyAlignment="1" applyProtection="1">
      <alignment horizontal="left"/>
    </xf>
    <xf numFmtId="0" fontId="6" fillId="7" borderId="0" xfId="6" applyFont="1" applyFill="1" applyBorder="1" applyAlignment="1" applyProtection="1">
      <alignment horizontal="center"/>
    </xf>
    <xf numFmtId="0" fontId="6" fillId="7" borderId="0" xfId="6" applyFont="1" applyFill="1" applyBorder="1" applyAlignment="1" applyProtection="1">
      <alignment vertical="center"/>
    </xf>
    <xf numFmtId="0" fontId="6" fillId="7" borderId="0" xfId="6" applyFont="1" applyFill="1" applyBorder="1" applyAlignment="1" applyProtection="1">
      <alignment horizontal="left" vertical="center"/>
    </xf>
    <xf numFmtId="0" fontId="6" fillId="7" borderId="0" xfId="6" applyFont="1" applyFill="1" applyBorder="1" applyAlignment="1" applyProtection="1">
      <alignment horizontal="center" vertical="center"/>
    </xf>
    <xf numFmtId="0" fontId="7" fillId="7" borderId="0" xfId="6" applyFont="1" applyFill="1" applyBorder="1" applyAlignment="1" applyProtection="1"/>
    <xf numFmtId="0" fontId="7" fillId="7" borderId="0" xfId="6" applyFont="1" applyFill="1" applyBorder="1" applyAlignment="1" applyProtection="1">
      <alignment horizontal="center"/>
    </xf>
    <xf numFmtId="0" fontId="7" fillId="7" borderId="0" xfId="6" applyFont="1" applyFill="1" applyBorder="1" applyAlignment="1" applyProtection="1">
      <alignment horizontal="left" vertical="center"/>
    </xf>
    <xf numFmtId="0" fontId="0" fillId="7" borderId="0" xfId="0" applyFill="1" applyAlignment="1" applyProtection="1">
      <alignment horizontal="center"/>
    </xf>
    <xf numFmtId="0" fontId="0" fillId="7" borderId="0" xfId="0" applyFill="1" applyBorder="1" applyProtection="1"/>
    <xf numFmtId="0" fontId="7" fillId="7" borderId="0" xfId="6" applyFont="1" applyFill="1" applyAlignment="1" applyProtection="1">
      <alignment horizontal="left"/>
    </xf>
    <xf numFmtId="175" fontId="7" fillId="7" borderId="0" xfId="6" applyNumberFormat="1" applyFont="1" applyFill="1" applyProtection="1"/>
    <xf numFmtId="1" fontId="7" fillId="3" borderId="11" xfId="6" applyNumberFormat="1" applyFont="1" applyFill="1" applyBorder="1" applyAlignment="1" applyProtection="1">
      <alignment horizontal="center"/>
    </xf>
    <xf numFmtId="0" fontId="6" fillId="3" borderId="10" xfId="6" applyFont="1" applyFill="1" applyBorder="1" applyProtection="1"/>
    <xf numFmtId="0" fontId="6" fillId="3" borderId="12" xfId="6" applyFont="1" applyFill="1" applyBorder="1" applyAlignment="1" applyProtection="1">
      <alignment horizontal="center"/>
    </xf>
    <xf numFmtId="0" fontId="6" fillId="7" borderId="0" xfId="6" applyFont="1" applyFill="1" applyAlignment="1" applyProtection="1">
      <alignment vertical="center"/>
    </xf>
    <xf numFmtId="0" fontId="7" fillId="3" borderId="4" xfId="6" applyFont="1" applyFill="1" applyBorder="1" applyAlignment="1" applyProtection="1">
      <alignment horizontal="left"/>
    </xf>
    <xf numFmtId="0" fontId="7" fillId="0" borderId="12" xfId="6" applyFont="1" applyBorder="1" applyAlignment="1" applyProtection="1">
      <alignment horizontal="left"/>
    </xf>
    <xf numFmtId="0" fontId="7" fillId="3" borderId="8" xfId="6" applyFont="1" applyFill="1" applyBorder="1" applyAlignment="1" applyProtection="1">
      <alignment horizontal="left"/>
    </xf>
    <xf numFmtId="0" fontId="7" fillId="3" borderId="0" xfId="6" applyFont="1" applyFill="1" applyBorder="1" applyAlignment="1" applyProtection="1">
      <alignment horizontal="left"/>
    </xf>
    <xf numFmtId="0" fontId="7" fillId="3" borderId="7" xfId="6" applyFont="1" applyFill="1" applyBorder="1" applyAlignment="1" applyProtection="1">
      <alignment horizontal="left"/>
    </xf>
    <xf numFmtId="0" fontId="7" fillId="0" borderId="5" xfId="6" applyFont="1" applyFill="1" applyBorder="1" applyAlignment="1" applyProtection="1">
      <alignment horizontal="center"/>
    </xf>
    <xf numFmtId="0" fontId="7" fillId="0" borderId="4" xfId="6" applyFont="1" applyFill="1" applyBorder="1" applyAlignment="1" applyProtection="1">
      <alignment horizontal="center"/>
    </xf>
    <xf numFmtId="0" fontId="9" fillId="7" borderId="0" xfId="6" applyFont="1" applyFill="1" applyBorder="1" applyAlignment="1" applyProtection="1">
      <alignment horizontal="left"/>
    </xf>
    <xf numFmtId="172" fontId="8" fillId="5" borderId="12" xfId="6" applyNumberFormat="1" applyFont="1" applyFill="1" applyBorder="1" applyAlignment="1" applyProtection="1">
      <alignment horizontal="right"/>
    </xf>
    <xf numFmtId="0" fontId="7" fillId="3" borderId="11" xfId="0" applyFont="1" applyFill="1" applyBorder="1" applyAlignment="1" applyProtection="1">
      <alignment horizontal="center" vertical="center"/>
    </xf>
    <xf numFmtId="1" fontId="7" fillId="3" borderId="10" xfId="0" applyNumberFormat="1" applyFont="1" applyFill="1" applyBorder="1" applyAlignment="1" applyProtection="1">
      <alignment vertical="center"/>
    </xf>
    <xf numFmtId="1" fontId="7" fillId="3" borderId="12" xfId="0" applyNumberFormat="1" applyFont="1" applyFill="1" applyBorder="1" applyAlignment="1" applyProtection="1">
      <alignment horizontal="center"/>
    </xf>
    <xf numFmtId="0" fontId="7" fillId="7" borderId="0" xfId="6" applyFont="1" applyFill="1" applyProtection="1"/>
    <xf numFmtId="0" fontId="6" fillId="7" borderId="0" xfId="6" applyFont="1" applyFill="1" applyProtection="1"/>
    <xf numFmtId="174" fontId="7" fillId="3" borderId="11" xfId="6" applyNumberFormat="1" applyFont="1" applyFill="1" applyBorder="1" applyAlignment="1" applyProtection="1">
      <alignment horizontal="center" vertical="center"/>
    </xf>
    <xf numFmtId="0" fontId="7" fillId="2" borderId="15" xfId="6" applyFont="1" applyFill="1" applyBorder="1" applyAlignment="1" applyProtection="1">
      <alignment horizontal="center"/>
    </xf>
    <xf numFmtId="0" fontId="7" fillId="0" borderId="13" xfId="6" applyFont="1" applyBorder="1" applyAlignment="1" applyProtection="1">
      <alignment horizontal="left"/>
    </xf>
    <xf numFmtId="172" fontId="8" fillId="5" borderId="13" xfId="6" applyNumberFormat="1" applyFont="1" applyFill="1" applyBorder="1" applyAlignment="1" applyProtection="1">
      <alignment horizontal="right"/>
    </xf>
    <xf numFmtId="0" fontId="7" fillId="3" borderId="3" xfId="0" applyFont="1" applyFill="1" applyBorder="1" applyAlignment="1" applyProtection="1">
      <alignment horizontal="center" vertical="center"/>
    </xf>
    <xf numFmtId="1" fontId="7" fillId="3" borderId="2" xfId="0" applyNumberFormat="1" applyFont="1" applyFill="1" applyBorder="1" applyAlignment="1" applyProtection="1">
      <alignment vertical="center"/>
    </xf>
    <xf numFmtId="1" fontId="7" fillId="3" borderId="14" xfId="0" applyNumberFormat="1" applyFont="1" applyFill="1" applyBorder="1" applyAlignment="1" applyProtection="1">
      <alignment horizontal="center"/>
    </xf>
    <xf numFmtId="0" fontId="9" fillId="7" borderId="0" xfId="6" applyFont="1" applyFill="1" applyBorder="1" applyAlignment="1" applyProtection="1">
      <alignment horizontal="center"/>
    </xf>
    <xf numFmtId="0" fontId="7" fillId="6" borderId="5" xfId="6" applyFont="1" applyFill="1" applyBorder="1" applyAlignment="1" applyProtection="1">
      <alignment horizontal="center"/>
    </xf>
    <xf numFmtId="0" fontId="7" fillId="6" borderId="4" xfId="6" applyFont="1" applyFill="1" applyBorder="1" applyAlignment="1" applyProtection="1">
      <alignment horizontal="center"/>
    </xf>
    <xf numFmtId="166" fontId="7" fillId="3" borderId="3" xfId="6" applyNumberFormat="1" applyFont="1" applyFill="1" applyBorder="1" applyAlignment="1" applyProtection="1">
      <alignment horizontal="center" vertical="center"/>
    </xf>
    <xf numFmtId="166" fontId="7" fillId="3" borderId="1" xfId="6" applyNumberFormat="1" applyFont="1" applyFill="1" applyBorder="1" applyAlignment="1" applyProtection="1">
      <alignment horizontal="center"/>
    </xf>
    <xf numFmtId="0" fontId="7" fillId="3" borderId="8" xfId="6" applyFont="1" applyFill="1" applyBorder="1" applyAlignment="1" applyProtection="1">
      <alignment horizontal="center"/>
    </xf>
    <xf numFmtId="1" fontId="7" fillId="3" borderId="13" xfId="6" applyNumberFormat="1" applyFont="1" applyFill="1" applyBorder="1" applyAlignment="1" applyProtection="1">
      <alignment horizontal="center"/>
    </xf>
    <xf numFmtId="175" fontId="7" fillId="3" borderId="15" xfId="6" applyNumberFormat="1" applyFont="1" applyFill="1" applyBorder="1" applyAlignment="1" applyProtection="1">
      <alignment horizontal="center"/>
    </xf>
    <xf numFmtId="1" fontId="9" fillId="7" borderId="0" xfId="6" applyNumberFormat="1" applyFont="1" applyFill="1" applyAlignment="1" applyProtection="1">
      <alignment horizontal="left"/>
    </xf>
    <xf numFmtId="169" fontId="8" fillId="5" borderId="13" xfId="6" applyNumberFormat="1" applyFont="1" applyFill="1" applyBorder="1" applyAlignment="1" applyProtection="1">
      <alignment horizontal="right"/>
    </xf>
    <xf numFmtId="1" fontId="7" fillId="3" borderId="12" xfId="6" applyNumberFormat="1" applyFont="1" applyFill="1" applyBorder="1" applyAlignment="1" applyProtection="1">
      <alignment horizontal="left"/>
    </xf>
    <xf numFmtId="1" fontId="7" fillId="3" borderId="9" xfId="6" applyNumberFormat="1" applyFont="1" applyFill="1" applyBorder="1" applyAlignment="1" applyProtection="1">
      <alignment horizontal="left"/>
    </xf>
    <xf numFmtId="1" fontId="7" fillId="3" borderId="10" xfId="6" applyNumberFormat="1" applyFont="1" applyFill="1" applyBorder="1" applyAlignment="1" applyProtection="1">
      <alignment horizontal="left"/>
    </xf>
    <xf numFmtId="0" fontId="7" fillId="2" borderId="3" xfId="6" applyFont="1" applyFill="1" applyBorder="1" applyAlignment="1" applyProtection="1">
      <alignment horizontal="left" vertical="center"/>
      <protection hidden="1"/>
    </xf>
    <xf numFmtId="0" fontId="7" fillId="0" borderId="14" xfId="6" applyFont="1" applyFill="1" applyBorder="1" applyAlignment="1" applyProtection="1">
      <alignment horizontal="center"/>
      <protection hidden="1"/>
    </xf>
    <xf numFmtId="0" fontId="7" fillId="7" borderId="21" xfId="6" applyFont="1" applyFill="1" applyBorder="1" applyAlignment="1" applyProtection="1">
      <alignment horizontal="center"/>
    </xf>
    <xf numFmtId="0" fontId="7" fillId="0" borderId="14" xfId="6" applyFont="1" applyBorder="1" applyAlignment="1" applyProtection="1">
      <alignment horizontal="left"/>
    </xf>
    <xf numFmtId="172" fontId="8" fillId="5" borderId="14" xfId="6" applyNumberFormat="1" applyFont="1" applyFill="1" applyBorder="1" applyAlignment="1" applyProtection="1">
      <alignment horizontal="right"/>
    </xf>
    <xf numFmtId="0" fontId="7" fillId="3" borderId="3" xfId="6" applyFont="1" applyFill="1" applyBorder="1" applyAlignment="1" applyProtection="1">
      <alignment horizontal="center"/>
    </xf>
    <xf numFmtId="1" fontId="7" fillId="3" borderId="14" xfId="6" applyNumberFormat="1" applyFont="1" applyFill="1" applyBorder="1" applyAlignment="1" applyProtection="1">
      <alignment horizontal="center"/>
    </xf>
    <xf numFmtId="1" fontId="7" fillId="3" borderId="13" xfId="6" applyNumberFormat="1" applyFont="1" applyFill="1" applyBorder="1" applyAlignment="1" applyProtection="1">
      <alignment horizontal="left"/>
    </xf>
    <xf numFmtId="1" fontId="7" fillId="3" borderId="7" xfId="6" applyNumberFormat="1" applyFont="1" applyFill="1" applyBorder="1" applyAlignment="1" applyProtection="1">
      <alignment horizontal="left"/>
    </xf>
    <xf numFmtId="1" fontId="7" fillId="3" borderId="0" xfId="6" applyNumberFormat="1" applyFont="1" applyFill="1" applyBorder="1" applyAlignment="1" applyProtection="1">
      <alignment horizontal="left"/>
    </xf>
    <xf numFmtId="0" fontId="7" fillId="0" borderId="15" xfId="6" applyFont="1" applyFill="1" applyBorder="1" applyAlignment="1" applyProtection="1">
      <alignment horizontal="center"/>
      <protection hidden="1"/>
    </xf>
    <xf numFmtId="0" fontId="0" fillId="7" borderId="18" xfId="0" applyFill="1" applyBorder="1" applyProtection="1"/>
    <xf numFmtId="0" fontId="13" fillId="11" borderId="0" xfId="0" applyFont="1" applyFill="1" applyBorder="1" applyAlignment="1" applyProtection="1">
      <alignment vertical="center"/>
    </xf>
    <xf numFmtId="174" fontId="7" fillId="3" borderId="11" xfId="6" applyNumberFormat="1" applyFont="1" applyFill="1" applyBorder="1" applyAlignment="1" applyProtection="1">
      <alignment horizontal="center"/>
    </xf>
    <xf numFmtId="173" fontId="9" fillId="7" borderId="0" xfId="6" applyNumberFormat="1" applyFont="1" applyFill="1" applyProtection="1"/>
    <xf numFmtId="0" fontId="7" fillId="7" borderId="0" xfId="6" applyFont="1" applyFill="1" applyAlignment="1" applyProtection="1">
      <alignment horizontal="center"/>
    </xf>
    <xf numFmtId="0" fontId="0" fillId="7" borderId="0" xfId="0" applyFill="1" applyBorder="1" applyAlignment="1" applyProtection="1"/>
    <xf numFmtId="166" fontId="7" fillId="3" borderId="3" xfId="6" applyNumberFormat="1" applyFont="1" applyFill="1" applyBorder="1" applyAlignment="1" applyProtection="1">
      <alignment horizontal="center"/>
    </xf>
    <xf numFmtId="0" fontId="7" fillId="3" borderId="3" xfId="6" applyFont="1" applyFill="1" applyBorder="1" applyAlignment="1" applyProtection="1">
      <alignment horizontal="left"/>
    </xf>
    <xf numFmtId="0" fontId="7" fillId="3" borderId="2" xfId="6" applyFont="1" applyFill="1" applyBorder="1" applyAlignment="1" applyProtection="1">
      <alignment horizontal="left"/>
    </xf>
    <xf numFmtId="0" fontId="7" fillId="3" borderId="1" xfId="6" applyFont="1" applyFill="1" applyBorder="1" applyAlignment="1" applyProtection="1">
      <alignment horizontal="left"/>
    </xf>
    <xf numFmtId="0" fontId="13" fillId="11" borderId="21" xfId="0" applyFont="1" applyFill="1" applyBorder="1" applyAlignment="1" applyProtection="1">
      <alignment vertical="center"/>
    </xf>
    <xf numFmtId="0" fontId="7" fillId="7" borderId="18" xfId="6" applyFont="1" applyFill="1" applyBorder="1" applyAlignment="1" applyProtection="1">
      <alignment horizontal="center"/>
    </xf>
    <xf numFmtId="0" fontId="7" fillId="7" borderId="25" xfId="6" applyFont="1" applyFill="1" applyBorder="1" applyAlignment="1" applyProtection="1"/>
    <xf numFmtId="0" fontId="7" fillId="7" borderId="18" xfId="6" applyFont="1" applyFill="1" applyBorder="1" applyAlignment="1" applyProtection="1"/>
    <xf numFmtId="1" fontId="7" fillId="3" borderId="6" xfId="6" applyNumberFormat="1" applyFont="1" applyFill="1" applyBorder="1" applyAlignment="1" applyProtection="1">
      <alignment horizontal="center"/>
    </xf>
    <xf numFmtId="0" fontId="7" fillId="7" borderId="23" xfId="6" applyFont="1" applyFill="1" applyBorder="1" applyAlignment="1" applyProtection="1">
      <alignment horizontal="center"/>
    </xf>
    <xf numFmtId="0" fontId="0" fillId="7" borderId="25" xfId="0" applyFill="1" applyBorder="1" applyProtection="1"/>
    <xf numFmtId="0" fontId="6" fillId="8" borderId="6" xfId="6" applyFont="1" applyFill="1" applyBorder="1" applyAlignment="1" applyProtection="1">
      <alignment horizontal="center"/>
    </xf>
    <xf numFmtId="0" fontId="7" fillId="7" borderId="24" xfId="6" applyFont="1" applyFill="1" applyBorder="1" applyAlignment="1" applyProtection="1">
      <alignment horizontal="center"/>
    </xf>
    <xf numFmtId="174" fontId="7" fillId="3" borderId="9" xfId="6" applyNumberFormat="1" applyFont="1" applyFill="1" applyBorder="1" applyAlignment="1" applyProtection="1">
      <alignment horizontal="center"/>
    </xf>
    <xf numFmtId="0" fontId="13" fillId="11" borderId="25" xfId="0" applyFont="1" applyFill="1" applyBorder="1" applyAlignment="1" applyProtection="1">
      <alignment vertical="center"/>
    </xf>
    <xf numFmtId="0" fontId="7" fillId="3" borderId="11" xfId="6" applyFont="1" applyFill="1" applyBorder="1" applyAlignment="1" applyProtection="1">
      <alignment horizontal="center"/>
    </xf>
    <xf numFmtId="1" fontId="7" fillId="3" borderId="7" xfId="6" applyNumberFormat="1" applyFont="1" applyFill="1" applyBorder="1" applyAlignment="1" applyProtection="1">
      <alignment horizontal="center"/>
    </xf>
    <xf numFmtId="0" fontId="13" fillId="11" borderId="18" xfId="0" applyFont="1" applyFill="1" applyBorder="1" applyAlignment="1" applyProtection="1">
      <alignment vertical="center"/>
    </xf>
    <xf numFmtId="0" fontId="13" fillId="11" borderId="24" xfId="0" applyFont="1" applyFill="1" applyBorder="1" applyAlignment="1" applyProtection="1">
      <alignment vertical="center"/>
    </xf>
    <xf numFmtId="0" fontId="7" fillId="7" borderId="21" xfId="6" applyFont="1" applyFill="1" applyBorder="1" applyAlignment="1" applyProtection="1"/>
    <xf numFmtId="0" fontId="7" fillId="0" borderId="3" xfId="6" applyFont="1" applyFill="1" applyBorder="1" applyAlignment="1" applyProtection="1">
      <alignment horizontal="center"/>
      <protection hidden="1"/>
    </xf>
    <xf numFmtId="0" fontId="7" fillId="7" borderId="8" xfId="6" applyFont="1" applyFill="1" applyBorder="1" applyAlignment="1" applyProtection="1">
      <alignment horizontal="center"/>
    </xf>
    <xf numFmtId="1" fontId="7" fillId="3" borderId="1" xfId="6" applyNumberFormat="1" applyFont="1" applyFill="1" applyBorder="1" applyAlignment="1" applyProtection="1">
      <alignment horizontal="center"/>
    </xf>
    <xf numFmtId="0" fontId="7" fillId="7" borderId="2" xfId="6" applyFont="1" applyFill="1" applyBorder="1" applyAlignment="1" applyProtection="1">
      <alignment horizontal="center"/>
    </xf>
    <xf numFmtId="0" fontId="7" fillId="0" borderId="6" xfId="6" applyFont="1" applyFill="1" applyBorder="1" applyAlignment="1" applyProtection="1">
      <alignment horizontal="center"/>
      <protection hidden="1"/>
    </xf>
    <xf numFmtId="0" fontId="7" fillId="7" borderId="16" xfId="6" applyFont="1" applyFill="1" applyBorder="1" applyAlignment="1" applyProtection="1">
      <alignment horizontal="center"/>
    </xf>
    <xf numFmtId="0" fontId="6" fillId="7" borderId="0" xfId="6" applyFont="1" applyFill="1" applyAlignment="1" applyProtection="1">
      <alignment horizontal="center"/>
    </xf>
    <xf numFmtId="0" fontId="13" fillId="11" borderId="22" xfId="0" applyFont="1" applyFill="1" applyBorder="1" applyAlignment="1" applyProtection="1">
      <alignment vertical="center"/>
    </xf>
    <xf numFmtId="0" fontId="13" fillId="11" borderId="20" xfId="0" applyFont="1" applyFill="1" applyBorder="1" applyAlignment="1" applyProtection="1">
      <alignment vertical="center"/>
    </xf>
    <xf numFmtId="0" fontId="0" fillId="7" borderId="24" xfId="0" applyFill="1" applyBorder="1" applyProtection="1"/>
    <xf numFmtId="0" fontId="0" fillId="7" borderId="28" xfId="0" applyFill="1" applyBorder="1" applyProtection="1"/>
    <xf numFmtId="0" fontId="7" fillId="7" borderId="22" xfId="6" applyFont="1" applyFill="1" applyBorder="1" applyAlignment="1" applyProtection="1">
      <alignment horizontal="center"/>
    </xf>
    <xf numFmtId="1" fontId="7" fillId="3" borderId="15" xfId="6" applyNumberFormat="1" applyFont="1" applyFill="1" applyBorder="1" applyAlignment="1" applyProtection="1">
      <alignment horizontal="left"/>
    </xf>
    <xf numFmtId="1" fontId="7" fillId="3" borderId="4" xfId="6" applyNumberFormat="1" applyFont="1" applyFill="1" applyBorder="1" applyAlignment="1" applyProtection="1">
      <alignment horizontal="left"/>
    </xf>
    <xf numFmtId="169" fontId="6" fillId="7" borderId="0" xfId="6" applyNumberFormat="1" applyFont="1" applyFill="1" applyAlignment="1" applyProtection="1">
      <alignment horizontal="center"/>
    </xf>
    <xf numFmtId="0" fontId="7" fillId="7" borderId="19" xfId="6" applyFont="1" applyFill="1" applyBorder="1" applyAlignment="1" applyProtection="1"/>
    <xf numFmtId="0" fontId="7" fillId="7" borderId="27" xfId="6" applyFont="1" applyFill="1" applyBorder="1" applyAlignment="1" applyProtection="1">
      <alignment horizontal="center"/>
    </xf>
    <xf numFmtId="0" fontId="7" fillId="7" borderId="20" xfId="6" applyFont="1" applyFill="1" applyBorder="1" applyAlignment="1" applyProtection="1"/>
    <xf numFmtId="0" fontId="7" fillId="7" borderId="26" xfId="6" applyFont="1" applyFill="1" applyBorder="1" applyAlignment="1" applyProtection="1">
      <alignment horizontal="center"/>
    </xf>
    <xf numFmtId="0" fontId="0" fillId="7" borderId="21" xfId="0" applyFill="1" applyBorder="1" applyProtection="1"/>
    <xf numFmtId="0" fontId="0" fillId="7" borderId="23" xfId="0" applyFill="1" applyBorder="1" applyProtection="1"/>
    <xf numFmtId="0" fontId="9" fillId="7" borderId="0" xfId="6" applyFont="1" applyFill="1" applyProtection="1"/>
    <xf numFmtId="0" fontId="7" fillId="7" borderId="17" xfId="6" applyFont="1" applyFill="1" applyBorder="1" applyAlignment="1" applyProtection="1">
      <alignment horizontal="center"/>
    </xf>
    <xf numFmtId="0" fontId="7" fillId="3" borderId="11" xfId="6" applyFont="1" applyFill="1" applyBorder="1" applyAlignment="1" applyProtection="1">
      <alignment horizontal="left"/>
    </xf>
    <xf numFmtId="0" fontId="7" fillId="3" borderId="10" xfId="6" applyFont="1" applyFill="1" applyBorder="1" applyAlignment="1" applyProtection="1">
      <alignment horizontal="left"/>
    </xf>
    <xf numFmtId="0" fontId="7" fillId="3" borderId="9" xfId="6" applyFont="1" applyFill="1" applyBorder="1" applyAlignment="1" applyProtection="1">
      <alignment horizontal="left"/>
    </xf>
    <xf numFmtId="0" fontId="7" fillId="7" borderId="23" xfId="6" applyFont="1" applyFill="1" applyBorder="1" applyAlignment="1" applyProtection="1"/>
    <xf numFmtId="1" fontId="7" fillId="7" borderId="0" xfId="6" applyNumberFormat="1" applyFont="1" applyFill="1" applyProtection="1"/>
    <xf numFmtId="1" fontId="7" fillId="7" borderId="0" xfId="6" applyNumberFormat="1" applyFont="1" applyFill="1" applyAlignment="1" applyProtection="1">
      <alignment horizontal="right"/>
    </xf>
    <xf numFmtId="1" fontId="7" fillId="7" borderId="0" xfId="6" applyNumberFormat="1" applyFont="1" applyFill="1" applyAlignment="1" applyProtection="1">
      <alignment horizontal="center"/>
    </xf>
    <xf numFmtId="165" fontId="7" fillId="7" borderId="0" xfId="6" applyNumberFormat="1" applyFont="1" applyFill="1" applyAlignment="1" applyProtection="1">
      <alignment horizontal="center"/>
    </xf>
    <xf numFmtId="174" fontId="7" fillId="7" borderId="0" xfId="6" applyNumberFormat="1" applyFont="1" applyFill="1" applyProtection="1"/>
    <xf numFmtId="0" fontId="10" fillId="7" borderId="0" xfId="6" applyFont="1" applyFill="1" applyAlignment="1" applyProtection="1">
      <alignment horizontal="center"/>
    </xf>
    <xf numFmtId="168" fontId="7" fillId="4" borderId="10" xfId="6" applyNumberFormat="1" applyFont="1" applyFill="1" applyBorder="1" applyAlignment="1" applyProtection="1">
      <alignment horizontal="center"/>
      <protection hidden="1"/>
    </xf>
    <xf numFmtId="1" fontId="7" fillId="4" borderId="0" xfId="6" applyNumberFormat="1" applyFont="1" applyFill="1" applyBorder="1" applyAlignment="1" applyProtection="1">
      <alignment horizontal="center"/>
      <protection hidden="1"/>
    </xf>
    <xf numFmtId="0" fontId="6" fillId="8" borderId="6" xfId="6" applyFont="1" applyFill="1" applyBorder="1" applyAlignment="1" applyProtection="1">
      <alignment horizontal="center" vertical="center"/>
    </xf>
    <xf numFmtId="0" fontId="6" fillId="8" borderId="5" xfId="6" applyFont="1" applyFill="1" applyBorder="1" applyAlignment="1" applyProtection="1">
      <alignment horizontal="center" vertical="center"/>
    </xf>
    <xf numFmtId="0" fontId="6" fillId="3" borderId="6" xfId="5" applyFont="1" applyFill="1" applyBorder="1" applyAlignment="1" applyProtection="1">
      <alignment horizontal="center" vertical="center"/>
    </xf>
    <xf numFmtId="0" fontId="13" fillId="11" borderId="0" xfId="0" applyFont="1" applyFill="1" applyBorder="1" applyAlignment="1" applyProtection="1">
      <alignment horizontal="center" vertical="center"/>
    </xf>
    <xf numFmtId="167" fontId="7" fillId="0" borderId="8" xfId="6" applyNumberFormat="1" applyFont="1" applyFill="1" applyBorder="1" applyAlignment="1" applyProtection="1">
      <alignment horizontal="right"/>
    </xf>
    <xf numFmtId="167" fontId="7" fillId="0" borderId="3" xfId="6" applyNumberFormat="1" applyFont="1" applyFill="1" applyBorder="1" applyAlignment="1" applyProtection="1">
      <alignment horizontal="right"/>
    </xf>
    <xf numFmtId="0" fontId="8" fillId="3" borderId="8" xfId="6" applyFont="1" applyFill="1" applyBorder="1" applyAlignment="1" applyProtection="1">
      <alignment horizontal="left"/>
    </xf>
    <xf numFmtId="0" fontId="8" fillId="3" borderId="0" xfId="6" applyFont="1" applyFill="1" applyBorder="1" applyAlignment="1" applyProtection="1">
      <alignment horizontal="left"/>
    </xf>
    <xf numFmtId="0" fontId="8" fillId="3" borderId="7" xfId="6" applyFont="1" applyFill="1" applyBorder="1" applyAlignment="1" applyProtection="1">
      <alignment horizontal="left"/>
    </xf>
    <xf numFmtId="0" fontId="8" fillId="3" borderId="3" xfId="6" applyFont="1" applyFill="1" applyBorder="1" applyAlignment="1" applyProtection="1">
      <alignment horizontal="left"/>
    </xf>
    <xf numFmtId="0" fontId="8" fillId="3" borderId="2" xfId="6" applyFont="1" applyFill="1" applyBorder="1" applyAlignment="1" applyProtection="1">
      <alignment horizontal="left"/>
    </xf>
    <xf numFmtId="0" fontId="7" fillId="0" borderId="13" xfId="5" applyFont="1" applyFill="1" applyBorder="1" applyAlignment="1" applyProtection="1">
      <alignment vertical="center"/>
    </xf>
    <xf numFmtId="0" fontId="7" fillId="0" borderId="14" xfId="5" applyFont="1" applyFill="1" applyBorder="1" applyAlignment="1" applyProtection="1">
      <alignment vertical="center"/>
    </xf>
    <xf numFmtId="0" fontId="7" fillId="9" borderId="2" xfId="6" applyFont="1" applyFill="1" applyBorder="1" applyAlignment="1" applyProtection="1"/>
    <xf numFmtId="0" fontId="7" fillId="9" borderId="1" xfId="6" applyFont="1" applyFill="1" applyBorder="1" applyAlignment="1" applyProtection="1"/>
    <xf numFmtId="0" fontId="7" fillId="9" borderId="0" xfId="6" applyFont="1" applyFill="1" applyBorder="1" applyAlignment="1" applyProtection="1"/>
    <xf numFmtId="0" fontId="7" fillId="9" borderId="7" xfId="6" applyFont="1" applyFill="1" applyBorder="1" applyAlignment="1" applyProtection="1"/>
    <xf numFmtId="166" fontId="7" fillId="9" borderId="0" xfId="6" applyNumberFormat="1" applyFont="1" applyFill="1" applyBorder="1" applyAlignment="1" applyProtection="1"/>
    <xf numFmtId="166" fontId="7" fillId="9" borderId="7" xfId="6" applyNumberFormat="1" applyFont="1" applyFill="1" applyBorder="1" applyAlignment="1" applyProtection="1"/>
    <xf numFmtId="166" fontId="6" fillId="9" borderId="10" xfId="6" applyNumberFormat="1" applyFont="1" applyFill="1" applyBorder="1" applyAlignment="1" applyProtection="1"/>
    <xf numFmtId="166" fontId="6" fillId="9" borderId="9" xfId="6" applyNumberFormat="1" applyFont="1" applyFill="1" applyBorder="1" applyAlignment="1" applyProtection="1"/>
    <xf numFmtId="0" fontId="7" fillId="0" borderId="8" xfId="5" applyFont="1" applyFill="1" applyBorder="1" applyAlignment="1" applyProtection="1">
      <alignment vertical="center"/>
    </xf>
    <xf numFmtId="0" fontId="7" fillId="0" borderId="3" xfId="5" applyFont="1" applyFill="1" applyBorder="1" applyAlignment="1" applyProtection="1">
      <alignment vertical="center"/>
    </xf>
    <xf numFmtId="0" fontId="8" fillId="3" borderId="11" xfId="6" applyFont="1" applyFill="1" applyBorder="1" applyAlignment="1" applyProtection="1">
      <alignment horizontal="left"/>
    </xf>
    <xf numFmtId="0" fontId="8" fillId="3" borderId="10" xfId="6" applyFont="1" applyFill="1" applyBorder="1" applyAlignment="1" applyProtection="1">
      <alignment horizontal="left"/>
    </xf>
    <xf numFmtId="0" fontId="8" fillId="3" borderId="9" xfId="6" applyFont="1" applyFill="1" applyBorder="1" applyAlignment="1" applyProtection="1">
      <alignment horizontal="left"/>
    </xf>
    <xf numFmtId="0" fontId="8" fillId="10" borderId="8" xfId="6" applyFont="1" applyFill="1" applyBorder="1" applyAlignment="1" applyProtection="1">
      <alignment horizontal="left"/>
    </xf>
    <xf numFmtId="0" fontId="8" fillId="10" borderId="7" xfId="6" applyFont="1" applyFill="1" applyBorder="1" applyAlignment="1" applyProtection="1">
      <alignment horizontal="left"/>
    </xf>
    <xf numFmtId="0" fontId="8" fillId="3" borderId="1" xfId="6" applyFont="1" applyFill="1" applyBorder="1" applyAlignment="1" applyProtection="1">
      <alignment horizontal="left"/>
    </xf>
    <xf numFmtId="0" fontId="13" fillId="11" borderId="0" xfId="0" applyFont="1" applyFill="1" applyAlignment="1" applyProtection="1">
      <alignment horizontal="center" vertical="center"/>
    </xf>
    <xf numFmtId="0" fontId="13" fillId="11" borderId="8" xfId="0" applyFont="1" applyFill="1" applyBorder="1" applyAlignment="1" applyProtection="1">
      <alignment horizontal="center" vertical="center"/>
    </xf>
    <xf numFmtId="0" fontId="13" fillId="11" borderId="0" xfId="0" applyFont="1" applyFill="1" applyBorder="1" applyAlignment="1" applyProtection="1">
      <alignment horizontal="center" vertical="center"/>
    </xf>
    <xf numFmtId="0" fontId="13" fillId="11" borderId="7" xfId="0" applyFont="1" applyFill="1" applyBorder="1" applyAlignment="1" applyProtection="1">
      <alignment horizontal="center" vertical="center"/>
    </xf>
    <xf numFmtId="0" fontId="13" fillId="11" borderId="18" xfId="0" applyFont="1" applyFill="1" applyBorder="1" applyAlignment="1" applyProtection="1">
      <alignment horizontal="center" vertical="center"/>
    </xf>
    <xf numFmtId="0" fontId="7" fillId="7" borderId="10" xfId="6" applyFont="1" applyFill="1" applyBorder="1" applyAlignment="1" applyProtection="1">
      <alignment horizontal="center"/>
    </xf>
    <xf numFmtId="0" fontId="6" fillId="8" borderId="6" xfId="6" applyFont="1" applyFill="1" applyBorder="1" applyAlignment="1" applyProtection="1">
      <alignment horizontal="center" vertical="center"/>
    </xf>
    <xf numFmtId="0" fontId="6" fillId="8" borderId="4" xfId="6" applyFont="1" applyFill="1" applyBorder="1" applyAlignment="1" applyProtection="1">
      <alignment horizontal="center" vertical="center"/>
    </xf>
    <xf numFmtId="0" fontId="6" fillId="5" borderId="5" xfId="5" applyFont="1" applyFill="1" applyBorder="1" applyAlignment="1" applyProtection="1">
      <alignment horizontal="center"/>
    </xf>
    <xf numFmtId="0" fontId="6" fillId="5" borderId="4" xfId="5" applyFont="1" applyFill="1" applyBorder="1" applyAlignment="1" applyProtection="1">
      <alignment horizontal="center"/>
    </xf>
    <xf numFmtId="0" fontId="6" fillId="5" borderId="3" xfId="5" applyFont="1" applyFill="1" applyBorder="1" applyAlignment="1" applyProtection="1">
      <alignment horizontal="center"/>
    </xf>
    <xf numFmtId="0" fontId="6" fillId="5" borderId="2" xfId="5" applyFont="1" applyFill="1" applyBorder="1" applyAlignment="1" applyProtection="1">
      <alignment horizontal="center"/>
    </xf>
    <xf numFmtId="0" fontId="6" fillId="5" borderId="1" xfId="5" applyFont="1" applyFill="1" applyBorder="1" applyAlignment="1" applyProtection="1">
      <alignment horizontal="center"/>
    </xf>
    <xf numFmtId="0" fontId="6" fillId="8" borderId="5" xfId="6" applyFont="1" applyFill="1" applyBorder="1" applyAlignment="1" applyProtection="1">
      <alignment horizontal="center" vertical="center"/>
    </xf>
    <xf numFmtId="0" fontId="7" fillId="3" borderId="6" xfId="6" applyFont="1" applyFill="1" applyBorder="1" applyAlignment="1" applyProtection="1">
      <alignment horizontal="center"/>
    </xf>
    <xf numFmtId="0" fontId="7" fillId="3" borderId="4" xfId="6" applyFont="1" applyFill="1" applyBorder="1" applyAlignment="1" applyProtection="1">
      <alignment horizontal="center"/>
    </xf>
    <xf numFmtId="0" fontId="6" fillId="3" borderId="6" xfId="5" applyFont="1" applyFill="1" applyBorder="1" applyAlignment="1" applyProtection="1">
      <alignment horizontal="center" vertical="center"/>
    </xf>
    <xf numFmtId="0" fontId="6" fillId="3" borderId="5" xfId="5" applyFont="1" applyFill="1" applyBorder="1" applyAlignment="1" applyProtection="1">
      <alignment horizontal="center" vertical="center"/>
    </xf>
    <xf numFmtId="0" fontId="6" fillId="3" borderId="4" xfId="5" applyFont="1" applyFill="1" applyBorder="1" applyAlignment="1" applyProtection="1">
      <alignment horizontal="center" vertical="center"/>
    </xf>
    <xf numFmtId="0" fontId="6" fillId="3" borderId="11" xfId="5" applyFont="1" applyFill="1" applyBorder="1" applyAlignment="1" applyProtection="1">
      <alignment horizontal="center" vertical="center"/>
    </xf>
    <xf numFmtId="0" fontId="6" fillId="3" borderId="10" xfId="5" applyFont="1" applyFill="1" applyBorder="1" applyAlignment="1" applyProtection="1">
      <alignment horizontal="center" vertical="center"/>
    </xf>
  </cellXfs>
  <cellStyles count="8">
    <cellStyle name="Gevolgde hyperlink 2" xfId="2" xr:uid="{00000000-0005-0000-0000-000000000000}"/>
    <cellStyle name="Hyperlink 2" xfId="1" xr:uid="{00000000-0005-0000-0000-000001000000}"/>
    <cellStyle name="Hyperlink 3" xfId="3" xr:uid="{00000000-0005-0000-0000-000002000000}"/>
    <cellStyle name="Komma 2" xfId="4" xr:uid="{00000000-0005-0000-0000-000003000000}"/>
    <cellStyle name="Standaard" xfId="0" builtinId="0"/>
    <cellStyle name="Standaard 2" xfId="5" xr:uid="{00000000-0005-0000-0000-000005000000}"/>
    <cellStyle name="Standaard 2 2" xfId="6" xr:uid="{00000000-0005-0000-0000-000006000000}"/>
    <cellStyle name="Standaard_CID WK Voetbal" xfId="7" xr:uid="{00000000-0005-0000-0000-000007000000}"/>
  </cellStyles>
  <dxfs count="103">
    <dxf>
      <font>
        <b val="0"/>
        <i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lor auto="1"/>
      </font>
      <fill>
        <patternFill patternType="none">
          <bgColor auto="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lor auto="1"/>
      </font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</border>
    </dxf>
    <dxf>
      <font>
        <color auto="1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</border>
    </dxf>
    <dxf>
      <font>
        <color auto="1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color auto="1"/>
      </font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lor auto="1"/>
      </font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lor auto="1"/>
      </font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lor auto="1"/>
      </font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lor auto="1"/>
      </font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 val="0"/>
        <color auto="1"/>
      </font>
      <fill>
        <patternFill patternType="none">
          <bgColor auto="1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lor auto="1"/>
      </font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9900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>
          <bgColor rgb="FFFF9900"/>
        </patternFill>
      </fill>
      <border>
        <left style="thin">
          <color rgb="FFCC0000"/>
        </left>
        <right style="thin">
          <color rgb="FFCC0000"/>
        </right>
        <top style="thin">
          <color rgb="FFCC0000"/>
        </top>
        <bottom style="thin">
          <color rgb="FFCC0000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lor rgb="FF0000FF"/>
      </font>
      <fill>
        <patternFill patternType="solid">
          <fgColor indexed="64"/>
          <bgColor rgb="FFFF9900"/>
        </patternFill>
      </fill>
      <border>
        <left style="thin">
          <color rgb="FFA50021"/>
        </left>
        <right style="thin">
          <color rgb="FFA50021"/>
        </right>
        <top style="thin">
          <color rgb="FFA50021"/>
        </top>
        <bottom style="thin">
          <color rgb="FFA50021"/>
        </bottom>
      </border>
    </dxf>
    <dxf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FFFF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</font>
      <fill>
        <patternFill>
          <bgColor indexed="13"/>
        </patternFill>
      </fill>
    </dxf>
  </dxfs>
  <tableStyles count="0" defaultTableStyle="TableStyleMedium2" defaultPivotStyle="PivotStyleLight16"/>
  <colors>
    <mruColors>
      <color rgb="FFCCFFFF"/>
      <color rgb="FF008000"/>
      <color rgb="FFFF9900"/>
      <color rgb="FFFFFF99"/>
      <color rgb="FF0000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0</xdr:colOff>
      <xdr:row>17</xdr:row>
      <xdr:rowOff>0</xdr:rowOff>
    </xdr:from>
    <xdr:to>
      <xdr:col>51</xdr:col>
      <xdr:colOff>2577</xdr:colOff>
      <xdr:row>26</xdr:row>
      <xdr:rowOff>9376</xdr:rowOff>
    </xdr:to>
    <xdr:pic>
      <xdr:nvPicPr>
        <xdr:cNvPr id="6" name="Afbeelding 5" descr="Afbeeldingsresultaat voor ek voetbal 2020 logo&quot;">
          <a:extLst>
            <a:ext uri="{FF2B5EF4-FFF2-40B4-BE49-F238E27FC236}">
              <a16:creationId xmlns:a16="http://schemas.microsoft.com/office/drawing/2014/main" id="{AA8C97FB-19C0-4D82-91A1-F829D8C83A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000" t="7500" r="18000" b="7500"/>
        <a:stretch/>
      </xdr:blipFill>
      <xdr:spPr bwMode="auto">
        <a:xfrm>
          <a:off x="20774025" y="3238500"/>
          <a:ext cx="1297977" cy="172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66"/>
  <sheetViews>
    <sheetView tabSelected="1" zoomScaleNormal="100" workbookViewId="0"/>
  </sheetViews>
  <sheetFormatPr defaultRowHeight="15" customHeight="1" outlineLevelCol="1" x14ac:dyDescent="0.25"/>
  <cols>
    <col min="1" max="1" width="15.7109375" style="54" customWidth="1"/>
    <col min="2" max="2" width="6.85546875" style="54" bestFit="1" customWidth="1"/>
    <col min="3" max="3" width="15" style="54" bestFit="1" customWidth="1"/>
    <col min="4" max="4" width="12.7109375" style="54" customWidth="1"/>
    <col min="5" max="5" width="1.7109375" style="54" bestFit="1" customWidth="1"/>
    <col min="6" max="6" width="12.7109375" style="54" customWidth="1"/>
    <col min="7" max="7" width="3.7109375" style="54" customWidth="1"/>
    <col min="8" max="8" width="1.7109375" style="54" bestFit="1" customWidth="1"/>
    <col min="9" max="9" width="3.7109375" style="54" customWidth="1"/>
    <col min="10" max="10" width="3.28515625" style="54" hidden="1" customWidth="1" outlineLevel="1"/>
    <col min="11" max="11" width="4.85546875" style="54" hidden="1" customWidth="1" outlineLevel="1"/>
    <col min="12" max="12" width="4.28515625" style="54" hidden="1" customWidth="1" outlineLevel="1"/>
    <col min="13" max="13" width="2.140625" style="54" hidden="1" customWidth="1" outlineLevel="1"/>
    <col min="14" max="14" width="1.7109375" style="54" hidden="1" customWidth="1" outlineLevel="1"/>
    <col min="15" max="15" width="2" style="54" hidden="1" customWidth="1" outlineLevel="1"/>
    <col min="16" max="16" width="4" style="54" hidden="1" customWidth="1" outlineLevel="1"/>
    <col min="17" max="17" width="3" style="54" hidden="1" customWidth="1" outlineLevel="1"/>
    <col min="18" max="18" width="7.28515625" style="54" hidden="1" customWidth="1" outlineLevel="1"/>
    <col min="19" max="19" width="10.28515625" style="54" hidden="1" customWidth="1" outlineLevel="1"/>
    <col min="20" max="20" width="9.28515625" style="54" hidden="1" customWidth="1" outlineLevel="1"/>
    <col min="21" max="21" width="2.85546875" style="54" customWidth="1" collapsed="1"/>
    <col min="22" max="23" width="2" style="54" customWidth="1"/>
    <col min="24" max="24" width="11.28515625" style="54" hidden="1" customWidth="1" outlineLevel="1"/>
    <col min="25" max="25" width="3.5703125" style="54" customWidth="1" collapsed="1"/>
    <col min="26" max="26" width="15.7109375" style="54" customWidth="1"/>
    <col min="27" max="27" width="4" style="54" customWidth="1"/>
    <col min="28" max="28" width="12.42578125" style="54" hidden="1" customWidth="1" outlineLevel="1"/>
    <col min="29" max="29" width="15.7109375" style="54" customWidth="1" collapsed="1"/>
    <col min="30" max="30" width="3" style="54" customWidth="1"/>
    <col min="31" max="31" width="10.85546875" style="54" bestFit="1" customWidth="1"/>
    <col min="32" max="32" width="3" style="54" customWidth="1"/>
    <col min="33" max="33" width="13.42578125" style="54" hidden="1" customWidth="1" outlineLevel="1"/>
    <col min="34" max="34" width="7.85546875" style="54" hidden="1" customWidth="1" outlineLevel="1"/>
    <col min="35" max="35" width="11.42578125" style="54" hidden="1" customWidth="1" outlineLevel="1"/>
    <col min="36" max="36" width="9.140625" style="54" hidden="1" customWidth="1" outlineLevel="1"/>
    <col min="37" max="38" width="12.42578125" style="54" hidden="1" customWidth="1" outlineLevel="1"/>
    <col min="39" max="39" width="3" style="54" customWidth="1" collapsed="1"/>
    <col min="40" max="40" width="15.7109375" style="54" customWidth="1"/>
    <col min="41" max="41" width="3" style="65" customWidth="1"/>
    <col min="42" max="45" width="3" style="66" customWidth="1"/>
    <col min="46" max="46" width="15.7109375" style="54" customWidth="1"/>
    <col min="47" max="47" width="3" style="65" customWidth="1"/>
    <col min="48" max="49" width="3" style="54" customWidth="1"/>
    <col min="50" max="50" width="15.7109375" style="54" customWidth="1"/>
    <col min="51" max="51" width="3.7109375" style="65" customWidth="1"/>
    <col min="52" max="53" width="3" style="54" customWidth="1"/>
    <col min="54" max="54" width="15.7109375" style="54" customWidth="1"/>
    <col min="55" max="55" width="3" style="65" customWidth="1"/>
    <col min="56" max="16384" width="9.140625" style="54"/>
  </cols>
  <sheetData>
    <row r="1" spans="1:60" ht="15" customHeight="1" x14ac:dyDescent="0.25">
      <c r="A1" s="48" t="s">
        <v>0</v>
      </c>
      <c r="B1" s="216" t="s">
        <v>1</v>
      </c>
      <c r="C1" s="216"/>
      <c r="D1" s="216"/>
      <c r="E1" s="216"/>
      <c r="F1" s="217"/>
      <c r="G1" s="218" t="s">
        <v>2</v>
      </c>
      <c r="H1" s="219"/>
      <c r="I1" s="220"/>
      <c r="J1" s="49"/>
      <c r="K1" s="49"/>
      <c r="L1" s="49"/>
      <c r="M1" s="49"/>
      <c r="N1" s="49"/>
      <c r="O1" s="49"/>
      <c r="P1" s="49"/>
      <c r="Q1" s="50"/>
      <c r="R1" s="51"/>
      <c r="S1" s="52"/>
      <c r="T1" s="53"/>
      <c r="U1" s="222"/>
      <c r="V1" s="223"/>
      <c r="X1" s="55"/>
      <c r="Y1" s="214" t="s">
        <v>3</v>
      </c>
      <c r="Z1" s="221"/>
      <c r="AA1" s="215"/>
      <c r="AB1" s="55"/>
      <c r="AC1" s="56"/>
      <c r="AD1" s="57"/>
      <c r="AE1" s="57"/>
      <c r="AF1" s="58"/>
      <c r="AG1" s="55"/>
      <c r="AH1" s="55"/>
      <c r="AI1" s="55"/>
      <c r="AJ1" s="55"/>
      <c r="AK1" s="55"/>
      <c r="AL1" s="55"/>
      <c r="AN1" s="179" t="s">
        <v>4</v>
      </c>
      <c r="AO1" s="180"/>
      <c r="AP1" s="59"/>
      <c r="AQ1" s="59"/>
      <c r="AR1" s="59"/>
      <c r="AS1" s="59"/>
      <c r="AT1" s="214" t="s">
        <v>5</v>
      </c>
      <c r="AU1" s="215"/>
      <c r="AV1" s="59"/>
      <c r="AW1" s="59"/>
      <c r="AX1" s="60"/>
      <c r="AY1" s="61"/>
      <c r="AZ1" s="60"/>
      <c r="BA1" s="60"/>
      <c r="BB1" s="62"/>
      <c r="BC1" s="63"/>
      <c r="BD1" s="59"/>
      <c r="BE1" s="60"/>
      <c r="BF1" s="64"/>
      <c r="BG1" s="59"/>
      <c r="BH1" s="59"/>
    </row>
    <row r="2" spans="1:60" ht="15" customHeight="1" x14ac:dyDescent="0.25">
      <c r="AE2" s="57"/>
      <c r="AF2" s="58"/>
    </row>
    <row r="3" spans="1:60" ht="15" customHeight="1" x14ac:dyDescent="0.25">
      <c r="A3" s="67"/>
      <c r="B3" s="181" t="s">
        <v>6</v>
      </c>
      <c r="C3" s="181" t="s">
        <v>7</v>
      </c>
      <c r="D3" s="224" t="s">
        <v>8</v>
      </c>
      <c r="E3" s="225"/>
      <c r="F3" s="225"/>
      <c r="G3" s="225"/>
      <c r="H3" s="225"/>
      <c r="I3" s="226"/>
      <c r="J3" s="177" t="s">
        <v>9</v>
      </c>
      <c r="K3" s="11" t="s">
        <v>10</v>
      </c>
      <c r="L3" s="11" t="s">
        <v>11</v>
      </c>
      <c r="M3" s="10" t="s">
        <v>12</v>
      </c>
      <c r="N3" s="11"/>
      <c r="O3" s="12" t="s">
        <v>13</v>
      </c>
      <c r="P3" s="13" t="s">
        <v>14</v>
      </c>
      <c r="Q3" s="14" t="s">
        <v>15</v>
      </c>
      <c r="R3" s="15" t="s">
        <v>16</v>
      </c>
      <c r="S3" s="16" t="s">
        <v>17</v>
      </c>
      <c r="T3" s="44" t="s">
        <v>16</v>
      </c>
      <c r="U3" s="63" t="str">
        <f>IF(AND(COUNT(G4:I9)=12,OR(T4=T5,T4=T6,T4=T7,T5=T6,T5=T7,T6=T7)),"loten:","")</f>
        <v/>
      </c>
      <c r="V3" s="63" t="str">
        <f>IF(AND(COUNT(H4:I9)=12,OR(U4=U5,U4=U6,U4=U7,U5=U6,U5=U7,U6=U7)),"loten:","")</f>
        <v/>
      </c>
      <c r="X3" s="68"/>
      <c r="Y3" s="69"/>
      <c r="Z3" s="70" t="s">
        <v>8</v>
      </c>
      <c r="AA3" s="71" t="s">
        <v>16</v>
      </c>
      <c r="AB3" s="72"/>
      <c r="AE3" s="73"/>
      <c r="AF3" s="58"/>
    </row>
    <row r="4" spans="1:60" ht="15" customHeight="1" x14ac:dyDescent="0.25">
      <c r="A4" s="74" t="s">
        <v>18</v>
      </c>
      <c r="B4" s="183">
        <v>43994</v>
      </c>
      <c r="C4" s="190" t="s">
        <v>19</v>
      </c>
      <c r="D4" s="75" t="str">
        <f>A4</f>
        <v>Turkije</v>
      </c>
      <c r="E4" s="76" t="s">
        <v>13</v>
      </c>
      <c r="F4" s="77" t="str">
        <f>A5</f>
        <v>Italië</v>
      </c>
      <c r="G4" s="78">
        <v>0</v>
      </c>
      <c r="H4" s="78" t="s">
        <v>13</v>
      </c>
      <c r="I4" s="79">
        <v>1</v>
      </c>
      <c r="J4" s="13">
        <f>IF(G4="",0,1)+IF(G6="",0,1)+IF(I8="",0,1)</f>
        <v>1</v>
      </c>
      <c r="K4" s="13">
        <f>IF(G4="",0,IF(G4&gt;I4,1,0))+IF(G6="",0,IF(G6&gt;I6,1,0))+IF(I8="",0,IF(I8&gt;G8,1,0))</f>
        <v>0</v>
      </c>
      <c r="L4" s="13">
        <f>IF(G4="",0,IF(G4=I4,1,0))+IF(G6="",0,IF(G6=I6,1,0))+IF(I8="",0,IF(I8=G8,1,0))</f>
        <v>0</v>
      </c>
      <c r="M4" s="17">
        <f t="shared" ref="M4:M7" si="0">SUMIF(D:D,A4,G:G)+SUMIF(F:F,A4,I:I)</f>
        <v>0</v>
      </c>
      <c r="N4" s="13" t="s">
        <v>13</v>
      </c>
      <c r="O4" s="18">
        <f t="shared" ref="O4:O7" si="1">SUMIF(D:D,A4,I:I)+SUMIF(F:F,A4,G:G)</f>
        <v>1</v>
      </c>
      <c r="P4" s="17">
        <f>K4*3+L4</f>
        <v>0</v>
      </c>
      <c r="Q4" s="19">
        <f>M4-O4</f>
        <v>-1</v>
      </c>
      <c r="R4" s="20">
        <f>P4+Q4/10^2+M4/10^4</f>
        <v>-0.01</v>
      </c>
      <c r="S4" s="21">
        <f>IF(R4=R5,G4-I4+(Q4-Q5)/10^2+(M4-M5)/10^4,0)+IF(R4=R6,G6-I6+(Q4-Q6)/10^2+(M4-M6)/10^4,0)+IF(R4=R7,I8-G8+(Q4-Q7)/10^2+(M4-M7)/10^4,0)</f>
        <v>0</v>
      </c>
      <c r="T4" s="22">
        <f>R4+S4/10^6</f>
        <v>-0.01</v>
      </c>
      <c r="U4" s="80" t="str">
        <f>A4</f>
        <v>Turkije</v>
      </c>
      <c r="V4" s="63"/>
      <c r="X4" s="81">
        <f>T4+V4/10^8</f>
        <v>-0.01</v>
      </c>
      <c r="Y4" s="82">
        <v>1</v>
      </c>
      <c r="Z4" s="83" t="str">
        <f t="array" ref="Z4">IF(COUNT(G4:I9)&lt;4,"winnaar groep A",IF(COUNTIF(AA4:AA7,AA4)&gt;1,INDEX(A1:A7,SMALL(IF(EXACT(AA4,X4:X7),ROW(X4:X7)),1),0)&amp;"/"&amp;INDEX(A1:A7,SMALL(IF(EXACT(AA4,X4:X7),ROW(X4:X7)),2),0),INDEX(U4:U7,MATCH(AA4,X4:X7,0))))</f>
        <v>Zwitserland</v>
      </c>
      <c r="AA4" s="84">
        <f>LARGE(X4:X7,1)</f>
        <v>3.0202</v>
      </c>
      <c r="AB4" s="85"/>
      <c r="AC4" s="72"/>
      <c r="AD4" s="72"/>
      <c r="AE4" s="46" t="str">
        <f>IF(AND(COUNT(G4:I49)&gt;=72,COUNTBLANK(AE7:AE44)&lt;37),"fair play:","")</f>
        <v/>
      </c>
      <c r="AF4" s="58"/>
      <c r="AG4" s="72"/>
      <c r="AH4" s="86"/>
      <c r="AI4" s="86"/>
      <c r="AJ4" s="86"/>
      <c r="AK4" s="86"/>
      <c r="AL4" s="86"/>
      <c r="AN4" s="87">
        <v>44009.75</v>
      </c>
      <c r="AO4" s="88">
        <v>37</v>
      </c>
      <c r="AP4" s="62"/>
      <c r="AQ4" s="62"/>
      <c r="AR4" s="62"/>
      <c r="AS4" s="62"/>
      <c r="AT4" s="62"/>
      <c r="AU4" s="63"/>
      <c r="AV4" s="62"/>
      <c r="AW4" s="62"/>
      <c r="AX4" s="62"/>
      <c r="AY4" s="63"/>
      <c r="AZ4" s="62"/>
      <c r="BA4" s="62"/>
      <c r="BB4" s="62"/>
      <c r="BC4" s="63"/>
      <c r="BD4" s="62"/>
      <c r="BE4" s="62"/>
      <c r="BF4" s="62"/>
      <c r="BG4" s="62"/>
      <c r="BH4" s="62"/>
    </row>
    <row r="5" spans="1:60" ht="15" customHeight="1" x14ac:dyDescent="0.25">
      <c r="A5" s="89" t="s">
        <v>20</v>
      </c>
      <c r="B5" s="183">
        <v>43995</v>
      </c>
      <c r="C5" s="190" t="s">
        <v>21</v>
      </c>
      <c r="D5" s="75" t="str">
        <f>A6</f>
        <v>Wales</v>
      </c>
      <c r="E5" s="76" t="s">
        <v>13</v>
      </c>
      <c r="F5" s="77" t="str">
        <f>A7</f>
        <v>Zwitserland</v>
      </c>
      <c r="G5" s="78">
        <v>0</v>
      </c>
      <c r="H5" s="78" t="s">
        <v>13</v>
      </c>
      <c r="I5" s="79">
        <v>2</v>
      </c>
      <c r="J5" s="178">
        <f>IF(I4="",0,1)+IF(G7="",0,1)+IF(G9="",0,1)</f>
        <v>1</v>
      </c>
      <c r="K5" s="24">
        <f>IF(I4="",0,IF(I4&gt;G4,1,0))+IF(G7="",0,IF(G7&gt;I7,1,0))+IF(G9="",0,IF(G9&gt;I9,1,0))</f>
        <v>1</v>
      </c>
      <c r="L5" s="24">
        <f>IF(I4="",0,IF(I4=G4,1,0))+IF(G7="",0,IF(I7=G7,1,0))+IF(I9="",0,IF(G9=I9,1,0))</f>
        <v>0</v>
      </c>
      <c r="M5" s="23">
        <f t="shared" si="0"/>
        <v>1</v>
      </c>
      <c r="N5" s="24" t="s">
        <v>13</v>
      </c>
      <c r="O5" s="25">
        <f t="shared" si="1"/>
        <v>0</v>
      </c>
      <c r="P5" s="23">
        <f>K5*3+L5</f>
        <v>3</v>
      </c>
      <c r="Q5" s="26">
        <f>M5-O5</f>
        <v>1</v>
      </c>
      <c r="R5" s="27">
        <f>P5+Q5/10^2+M5/10^4</f>
        <v>3.0101</v>
      </c>
      <c r="S5" s="28">
        <f>IF(R5=R4,I4-G4+(Q5-Q4)/10^2+(M5-M4)/10^4,0)+IF(R5=R6,G9-I9+(Q5-Q6)/10^2+(M5-M6)/10^4,0)+IF(R5=R7,G7-I7+(Q5-Q7)/10^2+(M5-M7)/10^4,0)</f>
        <v>0</v>
      </c>
      <c r="T5" s="29">
        <f>R5+S5/10^6</f>
        <v>3.0101</v>
      </c>
      <c r="U5" s="80" t="str">
        <f>A5</f>
        <v>Italië</v>
      </c>
      <c r="V5" s="63"/>
      <c r="X5" s="90">
        <f>T5+V5/10^8</f>
        <v>3.0101</v>
      </c>
      <c r="Y5" s="91">
        <v>2</v>
      </c>
      <c r="Z5" s="92" t="str">
        <f t="array" ref="Z5">IF(COUNT(G4:I9)&lt;4,"tweede groep A",IF(COUNTIF(AA4:AA7,AA5)&gt;1,INDEX(A1:A7,SMALL(IF(EXACT(AA5,X4:X7),ROW(X4:X7)),1),0)&amp;"/"&amp;INDEX(A1:A7,SMALL(IF(EXACT(AA5,X4:X7),ROW(X4:X7)),2),0),INDEX(U4:U7,MATCH(AA5,X4:X7,0))))</f>
        <v>Italië</v>
      </c>
      <c r="AA5" s="93">
        <f>LARGE(X4:X7,2)</f>
        <v>3.0101</v>
      </c>
      <c r="AB5" s="85"/>
      <c r="AC5" s="72"/>
      <c r="AD5" s="72"/>
      <c r="AE5" s="94" t="s">
        <v>22</v>
      </c>
      <c r="AF5" s="58"/>
      <c r="AG5" s="72"/>
      <c r="AH5" s="86"/>
      <c r="AI5" s="95" t="s">
        <v>23</v>
      </c>
      <c r="AJ5" s="95" t="s">
        <v>24</v>
      </c>
      <c r="AK5" s="96" t="s">
        <v>25</v>
      </c>
      <c r="AL5" s="96" t="s">
        <v>26</v>
      </c>
      <c r="AN5" s="97" t="s">
        <v>27</v>
      </c>
      <c r="AO5" s="98"/>
      <c r="AP5" s="63"/>
      <c r="AQ5" s="63"/>
      <c r="AR5" s="63"/>
      <c r="AS5" s="62"/>
      <c r="AT5" s="62"/>
      <c r="AU5" s="63"/>
      <c r="AV5" s="62"/>
      <c r="AW5" s="62"/>
      <c r="AX5" s="62"/>
      <c r="AY5" s="63"/>
      <c r="AZ5" s="62"/>
      <c r="BA5" s="62"/>
      <c r="BB5" s="62"/>
      <c r="BC5" s="63"/>
      <c r="BD5" s="62"/>
      <c r="BE5" s="62"/>
      <c r="BF5" s="62"/>
      <c r="BG5" s="62"/>
      <c r="BH5" s="62"/>
    </row>
    <row r="6" spans="1:60" ht="15" customHeight="1" thickBot="1" x14ac:dyDescent="0.3">
      <c r="A6" s="89" t="s">
        <v>28</v>
      </c>
      <c r="B6" s="183">
        <v>43999</v>
      </c>
      <c r="C6" s="190" t="s">
        <v>21</v>
      </c>
      <c r="D6" s="75" t="str">
        <f>A4</f>
        <v>Turkije</v>
      </c>
      <c r="E6" s="76" t="s">
        <v>13</v>
      </c>
      <c r="F6" s="77" t="str">
        <f>A6</f>
        <v>Wales</v>
      </c>
      <c r="G6" s="78"/>
      <c r="H6" s="78" t="s">
        <v>13</v>
      </c>
      <c r="I6" s="79"/>
      <c r="J6" s="178">
        <f>IF(G5="",0,1)+IF(I6="",0,1)+IF(I9="",0,1)</f>
        <v>1</v>
      </c>
      <c r="K6" s="24">
        <f>IF(G5="",0,IF(G5&gt;I5,1,0))+IF(I6="",0,IF(I6&gt;G6,1,0))+IF(I9="",0,IF(I9&gt;G9,1,0))</f>
        <v>0</v>
      </c>
      <c r="L6" s="24">
        <f>IF(I5="",0,IF(G5=I5,1,0))+IF(G6="",0,IF(G6=I6,1,0))+IF(I9="",0,IF(I9=G9,1,0))</f>
        <v>0</v>
      </c>
      <c r="M6" s="23">
        <f t="shared" si="0"/>
        <v>0</v>
      </c>
      <c r="N6" s="24" t="s">
        <v>13</v>
      </c>
      <c r="O6" s="25">
        <f t="shared" si="1"/>
        <v>2</v>
      </c>
      <c r="P6" s="23">
        <f>K6*3+L6</f>
        <v>0</v>
      </c>
      <c r="Q6" s="26">
        <f>M6-O6</f>
        <v>-2</v>
      </c>
      <c r="R6" s="27">
        <f>P6+Q6/10^2+M6/10^4</f>
        <v>-0.02</v>
      </c>
      <c r="S6" s="28">
        <f>IF(R6=R4,I6-G6+(Q6-Q4)/10^2+(M6-M4)/10^4,0)+IF(R6=R5,I9-G9+(Q6-Q5)/10^2+(M6-M5)/10^4,0)+IF(R6=R7,G5-I5+(Q6-Q7)/10^2+(M6-M7)/10^4,0)</f>
        <v>0</v>
      </c>
      <c r="T6" s="29">
        <f>R6+S6/10^6</f>
        <v>-0.02</v>
      </c>
      <c r="U6" s="80" t="str">
        <f>A6</f>
        <v>Wales</v>
      </c>
      <c r="V6" s="63"/>
      <c r="X6" s="90">
        <f>T6+V6/10^8</f>
        <v>-0.02</v>
      </c>
      <c r="Y6" s="99">
        <v>3</v>
      </c>
      <c r="Z6" s="45" t="str">
        <f t="array" ref="Z6">IF(COUNT(G4:I9)&lt;4,"derde groep A",IF(COUNTIF(AA4:AA7,AA6)&gt;1,INDEX(A1:A7,SMALL(IF(EXACT(AA6,X4:X7),ROW(X4:X7)),1),0)&amp;"/"&amp;INDEX(A1:A7,SMALL(IF(EXACT(AA6,X4:X7),ROW(X4:X7)),2),0),INDEX(U4:U7,MATCH(AA6,X4:X7,0))))</f>
        <v>Turkije</v>
      </c>
      <c r="AA6" s="100">
        <f>LARGE(X4:X7,3)</f>
        <v>-0.01</v>
      </c>
      <c r="AB6" s="101">
        <f>AA6</f>
        <v>-0.01</v>
      </c>
      <c r="AC6" s="102" t="str">
        <f>IF(AND(COUNT(G$4:I$49)=72,COUNTIF(AB$6:AB$47,AB6)&gt;1,RANK(AB6,AB$6:AB$47)&lt;=4),Z6,"")</f>
        <v/>
      </c>
      <c r="AD6" s="102"/>
      <c r="AE6" s="94" t="s">
        <v>29</v>
      </c>
      <c r="AF6" s="58"/>
      <c r="AG6" s="103">
        <f>AB6+SUMIF(AE$7:AE$14,Z6,AF$7:AF$14)/10^10</f>
        <v>-0.01</v>
      </c>
      <c r="AH6" s="104" t="s">
        <v>30</v>
      </c>
      <c r="AI6" s="105" t="str">
        <f>Z6</f>
        <v>Turkije</v>
      </c>
      <c r="AJ6" s="105" t="str">
        <f>Z30</f>
        <v>derde groep D</v>
      </c>
      <c r="AK6" s="106" t="str">
        <f>Z14</f>
        <v>derde groep B</v>
      </c>
      <c r="AL6" s="105" t="str">
        <f>Z22</f>
        <v>Oekraïne</v>
      </c>
      <c r="AN6" s="107" t="str">
        <f>IF(COUNT(G4:I9)&lt;12,"2 van A",Z5)</f>
        <v>2 van A</v>
      </c>
      <c r="AO6" s="108">
        <v>0</v>
      </c>
      <c r="AP6" s="109"/>
      <c r="AQ6" s="63"/>
      <c r="AR6" s="63"/>
      <c r="AS6" s="62"/>
      <c r="AT6" s="62"/>
      <c r="AU6" s="63"/>
      <c r="AV6" s="62"/>
      <c r="AW6" s="62"/>
      <c r="AX6" s="62"/>
      <c r="AY6" s="63"/>
      <c r="AZ6" s="62"/>
      <c r="BA6" s="62"/>
      <c r="BB6" s="62"/>
      <c r="BC6" s="63"/>
      <c r="BD6" s="62"/>
      <c r="BE6" s="62"/>
      <c r="BF6" s="62"/>
      <c r="BG6" s="62"/>
      <c r="BH6" s="62"/>
    </row>
    <row r="7" spans="1:60" ht="15" customHeight="1" x14ac:dyDescent="0.25">
      <c r="A7" s="110" t="s">
        <v>31</v>
      </c>
      <c r="B7" s="183">
        <v>43999</v>
      </c>
      <c r="C7" s="190" t="s">
        <v>19</v>
      </c>
      <c r="D7" s="75" t="str">
        <f>A5</f>
        <v>Italië</v>
      </c>
      <c r="E7" s="76" t="s">
        <v>13</v>
      </c>
      <c r="F7" s="77" t="str">
        <f>A7</f>
        <v>Zwitserland</v>
      </c>
      <c r="G7" s="78"/>
      <c r="H7" s="78" t="s">
        <v>13</v>
      </c>
      <c r="I7" s="79"/>
      <c r="J7" s="31">
        <f>IF(I5="",0,1)+IF(I7="",0,1)+IF(G8="",0,1)</f>
        <v>1</v>
      </c>
      <c r="K7" s="31">
        <f>IF(I5="",0,IF(I5&gt;G5,1,0))+IF(I7="",0,IF(I7&gt;G7,1,0))+IF(G8="",0,IF(G8&gt;I8,1,0))</f>
        <v>1</v>
      </c>
      <c r="L7" s="31">
        <f>IF(I5="",0,IF(I5=G5,1,0))+IF(G7="",0,IF(G7=I7,1,0))+IF(I8="",0,IF(G8=I8,1,0))</f>
        <v>0</v>
      </c>
      <c r="M7" s="30">
        <f t="shared" si="0"/>
        <v>2</v>
      </c>
      <c r="N7" s="31" t="s">
        <v>13</v>
      </c>
      <c r="O7" s="32">
        <f t="shared" si="1"/>
        <v>0</v>
      </c>
      <c r="P7" s="30">
        <f>K7*3+L7</f>
        <v>3</v>
      </c>
      <c r="Q7" s="33">
        <f>M7-O7</f>
        <v>2</v>
      </c>
      <c r="R7" s="34">
        <f>P7+Q7/10^2+M7/10^4</f>
        <v>3.0202</v>
      </c>
      <c r="S7" s="35">
        <f>IF(R7=R4,G8-I8+(Q7-Q4)/10^2+(M7-M4)/10^4,0)+IF(R7=R5,I7-G7+(Q7-Q5)/10^2+(M7-M5)/10^4,0)+IF(R7=R6,I5-G5+(Q7-Q6)/10^2+(M7-M6)/10^4,0)</f>
        <v>0</v>
      </c>
      <c r="T7" s="36">
        <f>R7+S7/10^6</f>
        <v>3.0202</v>
      </c>
      <c r="U7" s="80" t="str">
        <f>A7</f>
        <v>Zwitserland</v>
      </c>
      <c r="V7" s="63"/>
      <c r="X7" s="111">
        <f>T7+V7/10^8</f>
        <v>3.0202</v>
      </c>
      <c r="Y7" s="112">
        <v>4</v>
      </c>
      <c r="Z7" s="1" t="str">
        <f t="array" ref="Z7">IF(COUNT(G4:I9)&lt;4,"",IF(COUNTIF(AA4:AA7,AA7)&gt;1,INDEX(A1:A7,SMALL(IF(EXACT(AA7,X4:X7),ROW(X4:X7)),1),0)&amp;"/"&amp;INDEX(A1:A7,SMALL(IF(EXACT(AA7,X4:X7),ROW(X4:X7)),2),0),INDEX(U4:U7,MATCH(AA7,X4:X7,0))))</f>
        <v>Wales</v>
      </c>
      <c r="AA7" s="113">
        <f>LARGE(X4:X7,4)</f>
        <v>-0.02</v>
      </c>
      <c r="AB7" s="68"/>
      <c r="AC7" s="72"/>
      <c r="AD7" s="72"/>
      <c r="AE7" s="47" t="str">
        <f t="array" ref="AE7">IF(COUNTIF(AC$6:AC$46,SMALL(AC$6:AC$46,5))=3,INDEX(Z$1:Z$46,SMALL(IF(EXACT(AB6,AB$6:AB$46),ROW(AB$6:AB$46)),1),0),"")</f>
        <v/>
      </c>
      <c r="AF7" s="63"/>
      <c r="AG7" s="58"/>
      <c r="AH7" s="114" t="s">
        <v>32</v>
      </c>
      <c r="AI7" s="115" t="str">
        <f>Z6</f>
        <v>Turkije</v>
      </c>
      <c r="AJ7" s="115" t="str">
        <f>Z38</f>
        <v>derde groep E</v>
      </c>
      <c r="AK7" s="116" t="str">
        <f>Z14</f>
        <v>derde groep B</v>
      </c>
      <c r="AL7" s="115" t="str">
        <f>Z22</f>
        <v>Oekraïne</v>
      </c>
      <c r="AN7" s="107" t="str">
        <f>IF(COUNT(G12:I17)&lt;12,"2 van B",Z13)</f>
        <v>2 van B</v>
      </c>
      <c r="AO7" s="117">
        <v>2</v>
      </c>
      <c r="AP7" s="118"/>
      <c r="AQ7" s="119"/>
      <c r="AR7" s="119"/>
      <c r="AS7" s="63"/>
      <c r="AT7" s="120">
        <v>44015.75</v>
      </c>
      <c r="AU7" s="88">
        <v>45</v>
      </c>
      <c r="AV7" s="62"/>
      <c r="AW7" s="62"/>
      <c r="AX7" s="62"/>
      <c r="AY7" s="63"/>
      <c r="AZ7" s="62"/>
      <c r="BA7" s="62"/>
      <c r="BB7" s="62"/>
      <c r="BC7" s="63"/>
      <c r="BD7" s="62"/>
      <c r="BE7" s="62"/>
      <c r="BF7" s="62"/>
      <c r="BG7" s="62"/>
      <c r="BH7" s="62"/>
    </row>
    <row r="8" spans="1:60" ht="15" customHeight="1" x14ac:dyDescent="0.25">
      <c r="A8" s="67"/>
      <c r="B8" s="183">
        <v>44003</v>
      </c>
      <c r="C8" s="190" t="s">
        <v>21</v>
      </c>
      <c r="D8" s="75" t="str">
        <f>A7</f>
        <v>Zwitserland</v>
      </c>
      <c r="E8" s="76" t="s">
        <v>13</v>
      </c>
      <c r="F8" s="77" t="str">
        <f>A4</f>
        <v>Turkije</v>
      </c>
      <c r="G8" s="78"/>
      <c r="H8" s="78" t="s">
        <v>13</v>
      </c>
      <c r="I8" s="79"/>
      <c r="J8" s="8"/>
      <c r="K8" s="8"/>
      <c r="L8" s="8"/>
      <c r="M8" s="37"/>
      <c r="N8" s="37"/>
      <c r="O8" s="37"/>
      <c r="P8" s="38"/>
      <c r="Q8" s="38"/>
      <c r="R8" s="38"/>
      <c r="S8" s="38"/>
      <c r="T8" s="39"/>
      <c r="U8" s="121"/>
      <c r="V8" s="85"/>
      <c r="X8" s="68"/>
      <c r="Y8" s="122"/>
      <c r="Z8" s="4"/>
      <c r="AA8" s="122"/>
      <c r="AB8" s="68"/>
      <c r="AC8" s="72"/>
      <c r="AD8" s="72"/>
      <c r="AE8" s="47" t="str">
        <f t="array" ref="AE8">IF(COUNTIF(AC$6:AC$46,SMALL(AC$6:AC$46,5))=3,INDEX(Z$1:Z$46,SMALL(IF(EXACT(AB6,AB$6:AB$46),ROW(AB$6:AB$46)),2),0),"")</f>
        <v/>
      </c>
      <c r="AF8" s="63"/>
      <c r="AG8" s="58"/>
      <c r="AH8" s="114" t="s">
        <v>33</v>
      </c>
      <c r="AI8" s="115" t="str">
        <f>Z6</f>
        <v>Turkije</v>
      </c>
      <c r="AJ8" s="115" t="str">
        <f>Z46</f>
        <v>derde groep F</v>
      </c>
      <c r="AK8" s="116" t="str">
        <f>Z14</f>
        <v>derde groep B</v>
      </c>
      <c r="AL8" s="115" t="str">
        <f>Z22</f>
        <v>Oekraïne</v>
      </c>
      <c r="AN8" s="62"/>
      <c r="AO8" s="63"/>
      <c r="AP8" s="210" t="s">
        <v>34</v>
      </c>
      <c r="AQ8" s="210"/>
      <c r="AR8" s="119"/>
      <c r="AS8" s="123"/>
      <c r="AT8" s="124" t="s">
        <v>35</v>
      </c>
      <c r="AU8" s="98"/>
      <c r="AV8" s="63"/>
      <c r="AW8" s="62"/>
      <c r="AX8" s="62"/>
      <c r="AY8" s="63"/>
      <c r="AZ8" s="62"/>
      <c r="BA8" s="62"/>
      <c r="BB8" s="62"/>
      <c r="BC8" s="63"/>
      <c r="BD8" s="62"/>
      <c r="BE8" s="62"/>
      <c r="BF8" s="62"/>
      <c r="BG8" s="62"/>
      <c r="BH8" s="62"/>
    </row>
    <row r="9" spans="1:60" ht="15" customHeight="1" thickBot="1" x14ac:dyDescent="0.3">
      <c r="B9" s="184">
        <v>44003</v>
      </c>
      <c r="C9" s="191" t="s">
        <v>19</v>
      </c>
      <c r="D9" s="125" t="str">
        <f>A5</f>
        <v>Italië</v>
      </c>
      <c r="E9" s="126" t="s">
        <v>13</v>
      </c>
      <c r="F9" s="127" t="str">
        <f>A6</f>
        <v>Wales</v>
      </c>
      <c r="G9" s="78"/>
      <c r="H9" s="78" t="s">
        <v>13</v>
      </c>
      <c r="I9" s="79"/>
      <c r="J9" s="8"/>
      <c r="K9" s="8"/>
      <c r="L9" s="8"/>
      <c r="M9" s="37"/>
      <c r="N9" s="37"/>
      <c r="O9" s="37"/>
      <c r="P9" s="38"/>
      <c r="Q9" s="38"/>
      <c r="R9" s="38"/>
      <c r="S9" s="38"/>
      <c r="T9" s="39"/>
      <c r="U9" s="121"/>
      <c r="V9" s="85"/>
      <c r="X9" s="68"/>
      <c r="Y9" s="122"/>
      <c r="Z9" s="4"/>
      <c r="AA9" s="122"/>
      <c r="AB9" s="68"/>
      <c r="AC9" s="72"/>
      <c r="AD9" s="72"/>
      <c r="AE9" s="47" t="str">
        <f t="array" ref="AE9">IF(COUNTIF(AC$6:AC$46,SMALL(AC$6:AC$46,5))=3,INDEX(Z$1:Z$46,SMALL(IF(EXACT(AB6,AB$6:AB$46),ROW(AB$6:AB$46)),3),0),"")</f>
        <v/>
      </c>
      <c r="AF9" s="63"/>
      <c r="AG9" s="58"/>
      <c r="AH9" s="114" t="s">
        <v>36</v>
      </c>
      <c r="AI9" s="115" t="str">
        <f>Z30</f>
        <v>derde groep D</v>
      </c>
      <c r="AJ9" s="115" t="str">
        <f>Z38</f>
        <v>derde groep E</v>
      </c>
      <c r="AK9" s="116" t="str">
        <f>Z6</f>
        <v>Turkije</v>
      </c>
      <c r="AL9" s="115" t="str">
        <f>Z14</f>
        <v>derde groep B</v>
      </c>
      <c r="AN9" s="87">
        <v>44009.875</v>
      </c>
      <c r="AO9" s="88">
        <v>38</v>
      </c>
      <c r="AP9" s="118"/>
      <c r="AS9" s="128"/>
      <c r="AT9" s="107" t="str">
        <f>IF(AO31&gt;AO32,AN31,IF(AO32&gt;AO31,AN32,"winnaar 42"))</f>
        <v>beste nummer 3 A/B/C</v>
      </c>
      <c r="AU9" s="108">
        <v>2</v>
      </c>
      <c r="AV9" s="109"/>
      <c r="AW9" s="63"/>
      <c r="AX9" s="62"/>
      <c r="AY9" s="63"/>
      <c r="AZ9" s="62"/>
      <c r="BA9" s="62"/>
      <c r="BB9" s="62"/>
      <c r="BC9" s="63"/>
      <c r="BD9" s="62"/>
      <c r="BE9" s="62"/>
      <c r="BF9" s="62"/>
      <c r="BG9" s="62"/>
      <c r="BH9" s="62"/>
    </row>
    <row r="10" spans="1:60" ht="15" customHeight="1" x14ac:dyDescent="0.25">
      <c r="A10" s="67"/>
      <c r="J10" s="8"/>
      <c r="K10" s="8"/>
      <c r="L10" s="8"/>
      <c r="M10" s="37"/>
      <c r="N10" s="37"/>
      <c r="O10" s="37"/>
      <c r="P10" s="38"/>
      <c r="Q10" s="38"/>
      <c r="R10" s="38"/>
      <c r="S10" s="38"/>
      <c r="T10" s="39"/>
      <c r="U10" s="121"/>
      <c r="V10" s="85"/>
      <c r="AE10" s="94"/>
      <c r="AF10" s="58"/>
      <c r="AG10" s="58"/>
      <c r="AH10" s="114" t="s">
        <v>37</v>
      </c>
      <c r="AI10" s="115" t="str">
        <f>Z30</f>
        <v>derde groep D</v>
      </c>
      <c r="AJ10" s="115" t="str">
        <f>Z46</f>
        <v>derde groep F</v>
      </c>
      <c r="AK10" s="116" t="str">
        <f>Z6</f>
        <v>Turkije</v>
      </c>
      <c r="AL10" s="115" t="str">
        <f>Z14</f>
        <v>derde groep B</v>
      </c>
      <c r="AN10" s="97" t="s">
        <v>38</v>
      </c>
      <c r="AO10" s="98"/>
      <c r="AP10" s="129"/>
      <c r="AQ10" s="63"/>
      <c r="AR10" s="63"/>
      <c r="AS10" s="130"/>
      <c r="AT10" s="107" t="str">
        <f>IF(AO26&gt;AO27,AN26,IF(AO27&gt;AO26,AN27,"winnaar 41"))</f>
        <v>2 van E</v>
      </c>
      <c r="AU10" s="117">
        <v>1</v>
      </c>
      <c r="AV10" s="131"/>
      <c r="AX10" s="62"/>
      <c r="AY10" s="63"/>
      <c r="AZ10" s="62"/>
      <c r="BA10" s="62"/>
      <c r="BB10" s="62"/>
      <c r="BC10" s="63"/>
      <c r="BD10" s="62"/>
      <c r="BE10" s="62"/>
      <c r="BF10" s="62"/>
      <c r="BG10" s="62"/>
      <c r="BH10" s="62"/>
    </row>
    <row r="11" spans="1:60" ht="15" customHeight="1" thickBot="1" x14ac:dyDescent="0.3">
      <c r="A11" s="67"/>
      <c r="B11" s="181" t="s">
        <v>6</v>
      </c>
      <c r="C11" s="181" t="s">
        <v>7</v>
      </c>
      <c r="D11" s="224" t="s">
        <v>39</v>
      </c>
      <c r="E11" s="225"/>
      <c r="F11" s="225"/>
      <c r="G11" s="225"/>
      <c r="H11" s="225"/>
      <c r="I11" s="226"/>
      <c r="J11" s="177" t="s">
        <v>9</v>
      </c>
      <c r="K11" s="11" t="s">
        <v>10</v>
      </c>
      <c r="L11" s="11" t="s">
        <v>11</v>
      </c>
      <c r="M11" s="10" t="s">
        <v>12</v>
      </c>
      <c r="N11" s="11"/>
      <c r="O11" s="12" t="s">
        <v>13</v>
      </c>
      <c r="P11" s="13" t="s">
        <v>14</v>
      </c>
      <c r="Q11" s="14" t="s">
        <v>15</v>
      </c>
      <c r="R11" s="15" t="s">
        <v>16</v>
      </c>
      <c r="S11" s="16" t="s">
        <v>17</v>
      </c>
      <c r="T11" s="44" t="s">
        <v>16</v>
      </c>
      <c r="U11" s="63" t="str">
        <f>IF(AND(COUNT(G12:I17)=12,OR(T12=T13,T12=T14,T12=T15,T13=T14,T13=T15,T14=T15)),"loten:","")</f>
        <v/>
      </c>
      <c r="V11" s="63"/>
      <c r="X11" s="68"/>
      <c r="Y11" s="132"/>
      <c r="Z11" s="5" t="s">
        <v>39</v>
      </c>
      <c r="AA11" s="71" t="s">
        <v>16</v>
      </c>
      <c r="AB11" s="68"/>
      <c r="AC11" s="72"/>
      <c r="AD11" s="72"/>
      <c r="AE11" s="47" t="str">
        <f t="array" ref="AE11">IF(COUNTIF(AC$6:AC$46,SMALL(AC$6:AC$46,5))=4,INDEX(Z$1:Z$46,SMALL(IF(EXACT(AB14,AB$6:AB$46),ROW(AB$6:AB$46)),1),0),"")</f>
        <v/>
      </c>
      <c r="AF11" s="63"/>
      <c r="AG11" s="58"/>
      <c r="AH11" s="114" t="s">
        <v>40</v>
      </c>
      <c r="AI11" s="115" t="str">
        <f>Z38</f>
        <v>derde groep E</v>
      </c>
      <c r="AJ11" s="115" t="str">
        <f>Z46</f>
        <v>derde groep F</v>
      </c>
      <c r="AK11" s="116" t="str">
        <f>Z14</f>
        <v>derde groep B</v>
      </c>
      <c r="AL11" s="115" t="str">
        <f>Z6</f>
        <v>Turkije</v>
      </c>
      <c r="AN11" s="107" t="str">
        <f>IF(COUNT(G4:I9)&lt;12,"1 van A",Z4)</f>
        <v>1 van A</v>
      </c>
      <c r="AO11" s="108">
        <v>2</v>
      </c>
      <c r="AP11" s="133"/>
      <c r="AQ11" s="109"/>
      <c r="AR11" s="63"/>
      <c r="AS11" s="134"/>
      <c r="AT11" s="62"/>
      <c r="AU11" s="63"/>
      <c r="AV11" s="210" t="s">
        <v>34</v>
      </c>
      <c r="AW11" s="208"/>
      <c r="AX11" s="135" t="s">
        <v>41</v>
      </c>
      <c r="AY11" s="88">
        <v>49</v>
      </c>
      <c r="AZ11" s="62"/>
      <c r="BA11" s="62"/>
      <c r="BB11" s="62"/>
      <c r="BC11" s="63"/>
      <c r="BD11" s="62"/>
      <c r="BE11" s="62"/>
      <c r="BF11" s="62"/>
      <c r="BG11" s="62"/>
      <c r="BH11" s="62"/>
    </row>
    <row r="12" spans="1:60" x14ac:dyDescent="0.25">
      <c r="A12" s="74" t="s">
        <v>42</v>
      </c>
      <c r="B12" s="183">
        <v>43995</v>
      </c>
      <c r="C12" s="190" t="s">
        <v>43</v>
      </c>
      <c r="D12" s="75" t="str">
        <f>A12</f>
        <v>Denemarken</v>
      </c>
      <c r="E12" s="76" t="s">
        <v>13</v>
      </c>
      <c r="F12" s="77" t="str">
        <f>A13</f>
        <v>Finland</v>
      </c>
      <c r="G12" s="78"/>
      <c r="H12" s="78" t="s">
        <v>13</v>
      </c>
      <c r="I12" s="79"/>
      <c r="J12" s="13">
        <f>IF(G12="",0,1)+IF(G15="",0,1)+IF(I16="",0,1)</f>
        <v>0</v>
      </c>
      <c r="K12" s="13">
        <f>IF(G12="",0,IF(G12&gt;I12,1,0))+IF(G15="",0,IF(G15&gt;I15,1,0))+IF(I16="",0,IF(I16&gt;G16,1,0))</f>
        <v>0</v>
      </c>
      <c r="L12" s="13">
        <f>IF(G12="",0,IF(G12=I12,1,0))+IF(G15="",0,IF(G15=I15,1,0))+IF(I16="",0,IF(I16=G16,1,0))</f>
        <v>0</v>
      </c>
      <c r="M12" s="17">
        <f t="shared" ref="M12:M15" si="2">SUMIF(D:D,A12,G:G)+SUMIF(F:F,A12,I:I)</f>
        <v>0</v>
      </c>
      <c r="N12" s="13" t="s">
        <v>13</v>
      </c>
      <c r="O12" s="18">
        <f t="shared" ref="O12:O15" si="3">SUMIF(D:D,A12,I:I)+SUMIF(F:F,A12,G:G)</f>
        <v>0</v>
      </c>
      <c r="P12" s="17">
        <f>K12*3+L12</f>
        <v>0</v>
      </c>
      <c r="Q12" s="19">
        <f>M12-O12</f>
        <v>0</v>
      </c>
      <c r="R12" s="20">
        <f>P12+Q12/10^2+M12/10^4</f>
        <v>0</v>
      </c>
      <c r="S12" s="21">
        <f>IF(R12=R13,G12-I12+(Q12-Q13)/10^2+(M12-M13)/10^4,0)+IF(R12=R14,G15-I15+(Q12-Q14)/10^2+(M12-M14)/10^4,0)+IF(R12=R15,I16-G16+(Q12-Q15)/10^2+(M12-M15)/10^4,0)</f>
        <v>0</v>
      </c>
      <c r="T12" s="22">
        <f>R12+S12/10^6</f>
        <v>0</v>
      </c>
      <c r="U12" s="80" t="str">
        <f>A12</f>
        <v>Denemarken</v>
      </c>
      <c r="V12" s="63"/>
      <c r="X12" s="81">
        <f>T12+V11/10^8</f>
        <v>0</v>
      </c>
      <c r="Y12" s="82">
        <v>1</v>
      </c>
      <c r="Z12" s="83" t="str">
        <f t="array" ref="Z12">IF(COUNT(G12:I17)&lt;4,"winnaar groep B",IF(COUNTIF(AA12:AA15,AA12)&gt;1,INDEX(A1:A15,SMALL(IF(EXACT(AA12,X12:X15),ROW(X12:X15)),1),0)&amp;"/"&amp;INDEX(A1:A15,SMALL(IF(EXACT(AA12,X12:X15),ROW(X12:X15)),2),0),INDEX(U12:U15,MATCH(AA12,X12:X15,0))))</f>
        <v>winnaar groep B</v>
      </c>
      <c r="AA12" s="84">
        <f>LARGE(X12:X15,1)</f>
        <v>0</v>
      </c>
      <c r="AB12" s="68"/>
      <c r="AC12" s="72"/>
      <c r="AD12" s="72"/>
      <c r="AE12" s="47" t="str">
        <f t="array" ref="AE12">IF(COUNTIF(AC$6:AC$46,SMALL(AC$6:AC$46,5))=4,INDEX(Z$1:Z$46,SMALL(IF(EXACT(AB14,AB$6:AB$46),ROW(AB$6:AB$46)),2),0),"")</f>
        <v/>
      </c>
      <c r="AF12" s="63"/>
      <c r="AG12" s="58"/>
      <c r="AH12" s="114" t="s">
        <v>44</v>
      </c>
      <c r="AI12" s="115" t="str">
        <f>Z38</f>
        <v>derde groep E</v>
      </c>
      <c r="AJ12" s="115" t="str">
        <f>Z30</f>
        <v>derde groep D</v>
      </c>
      <c r="AK12" s="116" t="str">
        <f>Z22</f>
        <v>Oekraïne</v>
      </c>
      <c r="AL12" s="115" t="str">
        <f>Z6</f>
        <v>Turkije</v>
      </c>
      <c r="AN12" s="107" t="str">
        <f>IF(COUNT(G20:I24)&lt;12,"2 van C",Z21)</f>
        <v>2 van C</v>
      </c>
      <c r="AO12" s="117">
        <v>1</v>
      </c>
      <c r="AP12" s="129"/>
      <c r="AQ12" s="63"/>
      <c r="AR12" s="136"/>
      <c r="AS12" s="134"/>
      <c r="AT12" s="62"/>
      <c r="AU12" s="63"/>
      <c r="AV12" s="131"/>
      <c r="AW12" s="62"/>
      <c r="AX12" s="120">
        <v>44019.875</v>
      </c>
      <c r="AY12" s="137"/>
      <c r="AZ12" s="62"/>
      <c r="BA12" s="62"/>
      <c r="BB12" s="62"/>
      <c r="BC12" s="63"/>
      <c r="BD12" s="62"/>
      <c r="BE12" s="62"/>
      <c r="BF12" s="62"/>
      <c r="BG12" s="62"/>
      <c r="BH12" s="62"/>
    </row>
    <row r="13" spans="1:60" ht="15" customHeight="1" x14ac:dyDescent="0.25">
      <c r="A13" s="89" t="s">
        <v>45</v>
      </c>
      <c r="B13" s="183">
        <v>43995</v>
      </c>
      <c r="C13" s="190" t="s">
        <v>35</v>
      </c>
      <c r="D13" s="75" t="str">
        <f>A14</f>
        <v>België</v>
      </c>
      <c r="E13" s="76" t="s">
        <v>13</v>
      </c>
      <c r="F13" s="77" t="str">
        <f>A15</f>
        <v>Rusland</v>
      </c>
      <c r="G13" s="78"/>
      <c r="H13" s="78" t="s">
        <v>13</v>
      </c>
      <c r="I13" s="79"/>
      <c r="J13" s="178">
        <f>IF(I12="",0,1)+IF(G14="",0,1)+IF(G17="",0,1)</f>
        <v>0</v>
      </c>
      <c r="K13" s="24">
        <f>IF(I12="",0,IF(I12&gt;G12,1,0))+IF(G14="",0,IF(G14&gt;I14,1,0))+IF(G17="",0,IF(G17&gt;I17,1,0))</f>
        <v>0</v>
      </c>
      <c r="L13" s="24">
        <f>IF(I12="",0,IF(I12=G12,1,0))+IF(G14="",0,IF(I14=G14,1,0))+IF(I17="",0,IF(G17=I17,1,0))</f>
        <v>0</v>
      </c>
      <c r="M13" s="23">
        <f t="shared" si="2"/>
        <v>0</v>
      </c>
      <c r="N13" s="24" t="s">
        <v>13</v>
      </c>
      <c r="O13" s="25">
        <f t="shared" si="3"/>
        <v>0</v>
      </c>
      <c r="P13" s="23">
        <f>K13*3+L13</f>
        <v>0</v>
      </c>
      <c r="Q13" s="26">
        <f>M13-O13</f>
        <v>0</v>
      </c>
      <c r="R13" s="27">
        <f>P13+Q13/10^2+M13/10^4</f>
        <v>0</v>
      </c>
      <c r="S13" s="28">
        <f>IF(R13=R12,I12-G12+(Q13-Q12)/10^2+(M13-M12)/10^4,0)+IF(R13=R14,G17-I17+(Q13-Q14)/10^2+(M13-M14)/10^4,0)+IF(R13=R15,G14-I14+(Q13-Q15)/10^2+(M13-M15)/10^4,0)</f>
        <v>0</v>
      </c>
      <c r="T13" s="29">
        <f>R13+S13/10^6</f>
        <v>0</v>
      </c>
      <c r="U13" s="80" t="str">
        <f>A13</f>
        <v>Finland</v>
      </c>
      <c r="V13" s="63"/>
      <c r="X13" s="90">
        <f>T13+V12/10^8</f>
        <v>0</v>
      </c>
      <c r="Y13" s="91">
        <v>2</v>
      </c>
      <c r="Z13" s="92" t="str">
        <f t="array" ref="Z13">IF(COUNT(G12:I17)&lt;4,"tweede groep B",IF(COUNT(G12:I17)&lt;4,"",IF(COUNTIF(AA12:AA15,AA13)&gt;1,INDEX(A1:A15,SMALL(IF(EXACT(AA13,X12:X15),ROW(X12:X15)),1),0)&amp;"/"&amp;INDEX(A1:A15,SMALL(IF(EXACT(AA13,X12:X15),ROW(X12:X15)),2),0),INDEX(U12:U15,MATCH(AA13,X12:X15,0)))))</f>
        <v>tweede groep B</v>
      </c>
      <c r="AA13" s="93">
        <f>LARGE(X12:X15,2)</f>
        <v>0</v>
      </c>
      <c r="AB13" s="68"/>
      <c r="AC13" s="72"/>
      <c r="AD13" s="72"/>
      <c r="AE13" s="47" t="str">
        <f t="array" ref="AE13">IF(COUNTIF(AC$6:AC$46,SMALL(AC$6:AC$46,5))=4,INDEX(Z$1:Z$46,SMALL(IF(EXACT(AB14,AB$6:AB$46),ROW(AB$6:AB$46)),3),0),"")</f>
        <v/>
      </c>
      <c r="AF13" s="63"/>
      <c r="AG13" s="58"/>
      <c r="AH13" s="114" t="s">
        <v>46</v>
      </c>
      <c r="AI13" s="115" t="str">
        <f>Z46</f>
        <v>derde groep F</v>
      </c>
      <c r="AJ13" s="115" t="str">
        <f>Z30</f>
        <v>derde groep D</v>
      </c>
      <c r="AK13" s="116" t="str">
        <f>Z22</f>
        <v>Oekraïne</v>
      </c>
      <c r="AL13" s="115" t="str">
        <f>Z6</f>
        <v>Turkije</v>
      </c>
      <c r="AN13" s="62"/>
      <c r="AO13" s="63"/>
      <c r="AP13" s="118"/>
      <c r="AQ13" s="210" t="s">
        <v>34</v>
      </c>
      <c r="AR13" s="212"/>
      <c r="AS13" s="138"/>
      <c r="AT13" s="210"/>
      <c r="AU13" s="210"/>
      <c r="AV13" s="131"/>
      <c r="AW13" s="62"/>
      <c r="AX13" s="124" t="s">
        <v>38</v>
      </c>
      <c r="AY13" s="98"/>
      <c r="AZ13" s="63"/>
      <c r="BA13" s="62"/>
      <c r="BB13" s="62"/>
      <c r="BC13" s="63"/>
      <c r="BD13" s="62"/>
      <c r="BE13" s="62"/>
      <c r="BF13" s="62"/>
      <c r="BG13" s="62"/>
      <c r="BH13" s="62"/>
    </row>
    <row r="14" spans="1:60" ht="15" customHeight="1" thickBot="1" x14ac:dyDescent="0.3">
      <c r="A14" s="89" t="s">
        <v>47</v>
      </c>
      <c r="B14" s="183">
        <v>43999</v>
      </c>
      <c r="C14" s="190" t="s">
        <v>35</v>
      </c>
      <c r="D14" s="75" t="str">
        <f>A13</f>
        <v>Finland</v>
      </c>
      <c r="E14" s="76"/>
      <c r="F14" s="77" t="str">
        <f>A15</f>
        <v>Rusland</v>
      </c>
      <c r="G14" s="78"/>
      <c r="H14" s="78" t="s">
        <v>13</v>
      </c>
      <c r="I14" s="79"/>
      <c r="J14" s="178">
        <f>IF(G13="",0,1)+IF(I15="",0,1)+IF(I17="",0,1)</f>
        <v>0</v>
      </c>
      <c r="K14" s="24">
        <f>IF(G13="",0,IF(G13&gt;I13,1,0))+IF(I15="",0,IF(I15&gt;G15,1,0))+IF(I17="",0,IF(I17&gt;G17,1,0))</f>
        <v>0</v>
      </c>
      <c r="L14" s="24">
        <f>IF(I13="",0,IF(G13=I13,1,0))+IF(G15="",0,IF(G15=I15,1,0))+IF(I17="",0,IF(I17=G17,1,0))</f>
        <v>0</v>
      </c>
      <c r="M14" s="23">
        <f t="shared" si="2"/>
        <v>0</v>
      </c>
      <c r="N14" s="24" t="s">
        <v>13</v>
      </c>
      <c r="O14" s="25">
        <f t="shared" si="3"/>
        <v>0</v>
      </c>
      <c r="P14" s="23">
        <f>K14*3+L14</f>
        <v>0</v>
      </c>
      <c r="Q14" s="26">
        <f>M14-O14</f>
        <v>0</v>
      </c>
      <c r="R14" s="27">
        <f>P14+Q14/10^2+M14/10^4</f>
        <v>0</v>
      </c>
      <c r="S14" s="28">
        <f>IF(R14=R12,I15-G15+(Q14-Q12)/10^2+(M14-M12)/10^4,0)+IF(R14=R13,I17-G17+(Q14-Q13)/10^2+(M14-M13)/10^4,0)+IF(R14=R15,G13-I13+(Q14-Q15)/10^2+(M14-M15)/10^4,0)</f>
        <v>0</v>
      </c>
      <c r="T14" s="29">
        <f>R14+S14/10^6</f>
        <v>0</v>
      </c>
      <c r="U14" s="80" t="str">
        <f>A14</f>
        <v>België</v>
      </c>
      <c r="V14" s="63"/>
      <c r="X14" s="90">
        <f>T14+V13/10^8</f>
        <v>0</v>
      </c>
      <c r="Y14" s="139">
        <v>3</v>
      </c>
      <c r="Z14" s="6" t="str">
        <f t="array" ref="Z14">IF(COUNT(G12:I17)&lt;4,"derde groep B",IF(COUNTIF(AA12:AA15,AA14)&gt;1,INDEX(A1:A15,SMALL(IF(EXACT(AA14,X12:X15),ROW(X12:X15)),1),0)&amp;"/"&amp;INDEX(A1:A15,SMALL(IF(EXACT(AA14,X12:X15),ROW(X12:X15)),2),0),INDEX(U12:U15,MATCH(AA14,X12:X15,0))))</f>
        <v>derde groep B</v>
      </c>
      <c r="AA14" s="140">
        <f>LARGE(X12:X15,3)</f>
        <v>0</v>
      </c>
      <c r="AB14" s="101">
        <f>AA14</f>
        <v>0</v>
      </c>
      <c r="AC14" s="102" t="str">
        <f>IF(AND(COUNT(G$4:I$49)=72,COUNTIF(AB$6:AB$47,AB14)&gt;1,RANK(AB14,AB$6:AB$47)&lt;=4),Z14,"")</f>
        <v/>
      </c>
      <c r="AD14" s="102"/>
      <c r="AE14" s="47" t="str">
        <f t="array" ref="AE14">IF(COUNTIF(AC$6:AC$46,SMALL(AC$6:AC$46,5))=4,INDEX(Z$1:Z$46,SMALL(IF(EXACT(AB14,AB$6:AB$46),ROW(AB$6:AB$46)),4),0),"")</f>
        <v/>
      </c>
      <c r="AF14" s="63"/>
      <c r="AG14" s="103">
        <f>AB14+SUMIF(AE$7:AE$14,Z14,AF$7:AF$14)/10^10</f>
        <v>0</v>
      </c>
      <c r="AH14" s="114" t="s">
        <v>48</v>
      </c>
      <c r="AI14" s="115" t="str">
        <f>Z38</f>
        <v>derde groep E</v>
      </c>
      <c r="AJ14" s="115" t="str">
        <f>Z46</f>
        <v>derde groep F</v>
      </c>
      <c r="AK14" s="116" t="str">
        <f>Z22</f>
        <v>Oekraïne</v>
      </c>
      <c r="AL14" s="115" t="str">
        <f>Z6</f>
        <v>Turkije</v>
      </c>
      <c r="AN14" s="87">
        <v>44010.75</v>
      </c>
      <c r="AO14" s="88">
        <v>39</v>
      </c>
      <c r="AP14" s="141"/>
      <c r="AQ14" s="119"/>
      <c r="AR14" s="142"/>
      <c r="AS14" s="138"/>
      <c r="AT14" s="210"/>
      <c r="AU14" s="210"/>
      <c r="AV14" s="131"/>
      <c r="AW14" s="143"/>
      <c r="AX14" s="107" t="str">
        <f>IF(AU9&gt;AU10,AT9,IF(AU10&gt;AU9,AT10,"winnaar 45"))</f>
        <v>beste nummer 3 A/B/C</v>
      </c>
      <c r="AY14" s="144">
        <v>1</v>
      </c>
      <c r="AZ14" s="145"/>
      <c r="BA14" s="62"/>
      <c r="BB14" s="62"/>
      <c r="BC14" s="63"/>
      <c r="BD14" s="62"/>
      <c r="BE14" s="62"/>
      <c r="BF14" s="62"/>
      <c r="BG14" s="62"/>
      <c r="BH14" s="62"/>
    </row>
    <row r="15" spans="1:60" ht="15" customHeight="1" x14ac:dyDescent="0.25">
      <c r="A15" s="110" t="s">
        <v>49</v>
      </c>
      <c r="B15" s="183">
        <v>44000</v>
      </c>
      <c r="C15" s="190" t="s">
        <v>43</v>
      </c>
      <c r="D15" s="75" t="str">
        <f>A12</f>
        <v>Denemarken</v>
      </c>
      <c r="E15" s="76" t="s">
        <v>13</v>
      </c>
      <c r="F15" s="77" t="str">
        <f>A14</f>
        <v>België</v>
      </c>
      <c r="G15" s="78"/>
      <c r="H15" s="78" t="s">
        <v>13</v>
      </c>
      <c r="I15" s="79"/>
      <c r="J15" s="31">
        <f>IF(I13="",0,1)+IF(I14="",0,1)+IF(G16="",0,1)</f>
        <v>0</v>
      </c>
      <c r="K15" s="31">
        <f>IF(I13="",0,IF(I13&gt;G13,1,0))+IF(I14="",0,IF(I14&gt;G14,1,0))+IF(G16="",0,IF(G16&gt;I16,1,0))</f>
        <v>0</v>
      </c>
      <c r="L15" s="31">
        <f>IF(I13="",0,IF(I13=G13,1,0))+IF(G14="",0,IF(G14=I14,1,0))+IF(I16="",0,IF(G16=I16,1,0))</f>
        <v>0</v>
      </c>
      <c r="M15" s="30">
        <f t="shared" si="2"/>
        <v>0</v>
      </c>
      <c r="N15" s="31" t="s">
        <v>13</v>
      </c>
      <c r="O15" s="32">
        <f t="shared" si="3"/>
        <v>0</v>
      </c>
      <c r="P15" s="30">
        <f>K15*3+L15</f>
        <v>0</v>
      </c>
      <c r="Q15" s="33">
        <f>M15-O15</f>
        <v>0</v>
      </c>
      <c r="R15" s="34">
        <f>P15+Q15/10^2+M15/10^4</f>
        <v>0</v>
      </c>
      <c r="S15" s="35">
        <f>IF(R15=R12,G16-I16+(Q15-Q12)/10^2+(M15-M12)/10^4,0)+IF(R15=R13,I14-G14+(Q15-Q13)/10^2+(M15-M13)/10^4,0)+IF(R15=R14,I13-G13+(Q15-Q14)/10^2+(M15-M14)/10^4,0)</f>
        <v>0</v>
      </c>
      <c r="T15" s="36">
        <f>R15+S15/10^6</f>
        <v>0</v>
      </c>
      <c r="U15" s="80" t="str">
        <f>A15</f>
        <v>Rusland</v>
      </c>
      <c r="V15" s="85"/>
      <c r="X15" s="111">
        <f>T15+V14/10^8</f>
        <v>0</v>
      </c>
      <c r="Y15" s="112">
        <v>4</v>
      </c>
      <c r="Z15" s="7" t="str">
        <f t="array" ref="Z15">IF(COUNT(G12:I17)&lt;4,"",IF(COUNTIF(AA12:AA15,AA15)&gt;1,INDEX(A1:A15,SMALL(IF(EXACT(AA15,X12:X15),ROW(X12:X15)),1),0)&amp;"/"&amp;INDEX(A1:A15,SMALL(IF(EXACT(AA15,X12:X15),ROW(X12:X15)),2),0),INDEX(U12:U15,MATCH(AA15,X12:X15,0))))</f>
        <v/>
      </c>
      <c r="AA15" s="146">
        <f>LARGE(X12:X15,4)</f>
        <v>0</v>
      </c>
      <c r="AB15" s="68"/>
      <c r="AC15" s="72"/>
      <c r="AD15" s="72"/>
      <c r="AE15" s="57"/>
      <c r="AF15" s="58"/>
      <c r="AG15" s="58"/>
      <c r="AH15" s="114" t="s">
        <v>50</v>
      </c>
      <c r="AI15" s="115" t="str">
        <f>Z38</f>
        <v>derde groep E</v>
      </c>
      <c r="AJ15" s="115" t="str">
        <f>Z46</f>
        <v>derde groep F</v>
      </c>
      <c r="AK15" s="116" t="str">
        <f>Z30</f>
        <v>derde groep D</v>
      </c>
      <c r="AL15" s="115" t="str">
        <f>Z6</f>
        <v>Turkije</v>
      </c>
      <c r="AN15" s="97" t="s">
        <v>51</v>
      </c>
      <c r="AO15" s="98"/>
      <c r="AP15" s="129"/>
      <c r="AQ15" s="63"/>
      <c r="AR15" s="136"/>
      <c r="AS15" s="138"/>
      <c r="AT15" s="62"/>
      <c r="AU15" s="147"/>
      <c r="AV15" s="131"/>
      <c r="AW15" s="62"/>
      <c r="AX15" s="107" t="str">
        <f>IF(AU18&gt;AU19,AT18,IF(AU19&gt;AU18,AT19,"winnaar 46"))</f>
        <v>1 van A</v>
      </c>
      <c r="AY15" s="148">
        <v>0</v>
      </c>
      <c r="AZ15" s="149"/>
      <c r="BA15" s="62"/>
      <c r="BB15" s="62"/>
      <c r="BC15" s="63"/>
      <c r="BD15" s="62"/>
      <c r="BE15" s="62"/>
      <c r="BF15" s="62"/>
      <c r="BG15" s="62"/>
      <c r="BH15" s="62"/>
    </row>
    <row r="16" spans="1:60" ht="15" customHeight="1" thickBot="1" x14ac:dyDescent="0.3">
      <c r="A16" s="67"/>
      <c r="B16" s="183">
        <v>44004</v>
      </c>
      <c r="C16" s="190" t="s">
        <v>43</v>
      </c>
      <c r="D16" s="75" t="str">
        <f>A15</f>
        <v>Rusland</v>
      </c>
      <c r="E16" s="76" t="s">
        <v>13</v>
      </c>
      <c r="F16" s="77" t="str">
        <f>A12</f>
        <v>Denemarken</v>
      </c>
      <c r="G16" s="78"/>
      <c r="H16" s="78" t="s">
        <v>13</v>
      </c>
      <c r="I16" s="79"/>
      <c r="J16" s="8"/>
      <c r="K16" s="8"/>
      <c r="L16" s="8"/>
      <c r="M16" s="8"/>
      <c r="N16" s="8"/>
      <c r="O16" s="8"/>
      <c r="P16" s="40"/>
      <c r="Q16" s="41"/>
      <c r="R16" s="8"/>
      <c r="S16" s="42"/>
      <c r="T16" s="39"/>
      <c r="U16" s="121"/>
      <c r="V16" s="85"/>
      <c r="X16" s="68"/>
      <c r="Y16" s="122"/>
      <c r="Z16" s="8"/>
      <c r="AA16" s="150"/>
      <c r="AB16" s="68"/>
      <c r="AC16" s="72"/>
      <c r="AD16" s="72"/>
      <c r="AE16" s="57"/>
      <c r="AF16" s="58"/>
      <c r="AG16" s="58"/>
      <c r="AH16" s="114" t="s">
        <v>52</v>
      </c>
      <c r="AI16" s="115" t="str">
        <f>Z38</f>
        <v>derde groep E</v>
      </c>
      <c r="AJ16" s="115" t="str">
        <f>Z30</f>
        <v>derde groep D</v>
      </c>
      <c r="AK16" s="116" t="str">
        <f>Z14</f>
        <v>derde groep B</v>
      </c>
      <c r="AL16" s="115" t="str">
        <f>Z22</f>
        <v>Oekraïne</v>
      </c>
      <c r="AN16" s="107" t="str">
        <f>IF(COUNT(G20:I24)&lt;12,"1 van C",Z20)</f>
        <v>1 van C</v>
      </c>
      <c r="AO16" s="108">
        <v>1</v>
      </c>
      <c r="AP16" s="133"/>
      <c r="AQ16" s="63"/>
      <c r="AR16" s="136"/>
      <c r="AS16" s="134"/>
      <c r="AT16" s="120">
        <v>44015.875</v>
      </c>
      <c r="AU16" s="88">
        <v>46</v>
      </c>
      <c r="AV16" s="131"/>
      <c r="AW16" s="62"/>
      <c r="AX16" s="213"/>
      <c r="AY16" s="213"/>
      <c r="AZ16" s="208" t="s">
        <v>34</v>
      </c>
      <c r="BA16" s="208"/>
      <c r="BB16" s="62"/>
      <c r="BC16" s="63"/>
      <c r="BD16" s="62"/>
      <c r="BE16" s="62"/>
      <c r="BF16" s="62"/>
      <c r="BG16" s="62"/>
      <c r="BH16" s="62"/>
    </row>
    <row r="17" spans="1:60" ht="15" customHeight="1" x14ac:dyDescent="0.25">
      <c r="B17" s="184">
        <v>44004</v>
      </c>
      <c r="C17" s="191" t="s">
        <v>35</v>
      </c>
      <c r="D17" s="125" t="str">
        <f>A13</f>
        <v>Finland</v>
      </c>
      <c r="E17" s="126" t="s">
        <v>13</v>
      </c>
      <c r="F17" s="127" t="str">
        <f>A14</f>
        <v>België</v>
      </c>
      <c r="G17" s="78"/>
      <c r="H17" s="78" t="s">
        <v>13</v>
      </c>
      <c r="I17" s="79"/>
      <c r="J17" s="8"/>
      <c r="K17" s="8"/>
      <c r="L17" s="8"/>
      <c r="M17" s="8"/>
      <c r="N17" s="8"/>
      <c r="O17" s="8"/>
      <c r="P17" s="40"/>
      <c r="Q17" s="41"/>
      <c r="R17" s="8"/>
      <c r="S17" s="42"/>
      <c r="T17" s="39"/>
      <c r="U17" s="121"/>
      <c r="V17" s="85"/>
      <c r="X17" s="68"/>
      <c r="Y17" s="122"/>
      <c r="Z17" s="8"/>
      <c r="AA17" s="150"/>
      <c r="AB17" s="68"/>
      <c r="AC17" s="72"/>
      <c r="AD17" s="72"/>
      <c r="AE17" s="57"/>
      <c r="AF17" s="58"/>
      <c r="AG17" s="58"/>
      <c r="AH17" s="114" t="s">
        <v>53</v>
      </c>
      <c r="AI17" s="115" t="str">
        <f>Z46</f>
        <v>derde groep F</v>
      </c>
      <c r="AJ17" s="115" t="str">
        <f>Z30</f>
        <v>derde groep D</v>
      </c>
      <c r="AK17" s="116" t="str">
        <f>Z22</f>
        <v>Oekraïne</v>
      </c>
      <c r="AL17" s="115" t="str">
        <f>Z14</f>
        <v>derde groep B</v>
      </c>
      <c r="AN17" s="107" t="str">
        <f>IF(COUNT(G36:I41)&lt;12,"beste nummer 3 D/E/F",AJ22)</f>
        <v>beste nummer 3 D/E/F</v>
      </c>
      <c r="AO17" s="117">
        <v>0</v>
      </c>
      <c r="AP17" s="118"/>
      <c r="AQ17" s="119"/>
      <c r="AR17" s="136"/>
      <c r="AS17" s="134"/>
      <c r="AT17" s="124" t="s">
        <v>54</v>
      </c>
      <c r="AU17" s="98"/>
      <c r="AV17" s="210" t="s">
        <v>55</v>
      </c>
      <c r="AW17" s="208"/>
      <c r="AX17" s="62"/>
      <c r="AY17" s="63"/>
      <c r="AZ17" s="131"/>
      <c r="BA17" s="62"/>
      <c r="BB17" s="62"/>
      <c r="BC17" s="63"/>
      <c r="BD17" s="62"/>
      <c r="BE17" s="62"/>
      <c r="BF17" s="62"/>
      <c r="BG17" s="62"/>
      <c r="BH17" s="62"/>
    </row>
    <row r="18" spans="1:60" ht="15" customHeight="1" thickBot="1" x14ac:dyDescent="0.3">
      <c r="A18" s="67"/>
      <c r="J18" s="8"/>
      <c r="K18" s="8"/>
      <c r="L18" s="8"/>
      <c r="M18" s="8"/>
      <c r="N18" s="8"/>
      <c r="O18" s="8"/>
      <c r="P18" s="40"/>
      <c r="Q18" s="41"/>
      <c r="R18" s="8"/>
      <c r="S18" s="42"/>
      <c r="T18" s="39"/>
      <c r="U18" s="121"/>
      <c r="V18" s="62"/>
      <c r="X18" s="68"/>
      <c r="Y18" s="122"/>
      <c r="Z18" s="8"/>
      <c r="AA18" s="150"/>
      <c r="AB18" s="68"/>
      <c r="AC18" s="72"/>
      <c r="AD18" s="72"/>
      <c r="AE18" s="57"/>
      <c r="AF18" s="58"/>
      <c r="AG18" s="58"/>
      <c r="AH18" s="114" t="s">
        <v>56</v>
      </c>
      <c r="AI18" s="115" t="str">
        <f>Z46</f>
        <v>derde groep F</v>
      </c>
      <c r="AJ18" s="115" t="str">
        <f>Z38</f>
        <v>derde groep E</v>
      </c>
      <c r="AK18" s="116" t="str">
        <f>Z22</f>
        <v>Oekraïne</v>
      </c>
      <c r="AL18" s="115" t="str">
        <f>Z14</f>
        <v>derde groep B</v>
      </c>
      <c r="AN18" s="62"/>
      <c r="AO18" s="63"/>
      <c r="AP18" s="210" t="s">
        <v>34</v>
      </c>
      <c r="AQ18" s="210"/>
      <c r="AR18" s="151"/>
      <c r="AS18" s="152"/>
      <c r="AT18" s="107" t="str">
        <f>IF(AO21&gt;AO22,AN21,IF(AO22&gt;AO21,AN22,"winnaar 40"))</f>
        <v>1 van B</v>
      </c>
      <c r="AU18" s="108">
        <v>1</v>
      </c>
      <c r="AV18" s="133"/>
      <c r="AW18" s="63"/>
      <c r="AX18" s="62"/>
      <c r="AY18" s="63"/>
      <c r="AZ18" s="131"/>
      <c r="BA18" s="62"/>
      <c r="BB18" s="62"/>
      <c r="BC18" s="63"/>
      <c r="BD18" s="62"/>
      <c r="BE18" s="62"/>
      <c r="BF18" s="62"/>
      <c r="BG18" s="62"/>
      <c r="BH18" s="62"/>
    </row>
    <row r="19" spans="1:60" ht="15" customHeight="1" x14ac:dyDescent="0.25">
      <c r="A19" s="67"/>
      <c r="B19" s="181" t="s">
        <v>6</v>
      </c>
      <c r="C19" s="181" t="s">
        <v>7</v>
      </c>
      <c r="D19" s="227" t="s">
        <v>57</v>
      </c>
      <c r="E19" s="228"/>
      <c r="F19" s="228"/>
      <c r="G19" s="225"/>
      <c r="H19" s="225"/>
      <c r="I19" s="226"/>
      <c r="J19" s="177" t="s">
        <v>9</v>
      </c>
      <c r="K19" s="11" t="s">
        <v>10</v>
      </c>
      <c r="L19" s="11" t="s">
        <v>11</v>
      </c>
      <c r="M19" s="10" t="s">
        <v>12</v>
      </c>
      <c r="N19" s="11"/>
      <c r="O19" s="12" t="s">
        <v>13</v>
      </c>
      <c r="P19" s="13" t="s">
        <v>14</v>
      </c>
      <c r="Q19" s="14" t="s">
        <v>15</v>
      </c>
      <c r="R19" s="15" t="s">
        <v>16</v>
      </c>
      <c r="S19" s="16" t="s">
        <v>17</v>
      </c>
      <c r="T19" s="44" t="s">
        <v>16</v>
      </c>
      <c r="U19" s="63" t="str">
        <f>IF(AND(COUNT(G20:I24)=12,OR(T20=T21,T20=T22,T20=T23,T21=T22,T21=T23,T22=T23)),"loten:","")</f>
        <v/>
      </c>
      <c r="V19" s="63"/>
      <c r="X19" s="68"/>
      <c r="Y19" s="69"/>
      <c r="Z19" s="5" t="s">
        <v>57</v>
      </c>
      <c r="AA19" s="71" t="s">
        <v>16</v>
      </c>
      <c r="AB19" s="68"/>
      <c r="AC19" s="72"/>
      <c r="AD19" s="72"/>
      <c r="AE19" s="57"/>
      <c r="AF19" s="58"/>
      <c r="AG19" s="58"/>
      <c r="AH19" s="114" t="s">
        <v>58</v>
      </c>
      <c r="AI19" s="115" t="str">
        <f>Z46</f>
        <v>derde groep F</v>
      </c>
      <c r="AJ19" s="115" t="str">
        <f>Z38</f>
        <v>derde groep E</v>
      </c>
      <c r="AK19" s="116" t="str">
        <f>Z30</f>
        <v>derde groep D</v>
      </c>
      <c r="AL19" s="115" t="str">
        <f>Z14</f>
        <v>derde groep B</v>
      </c>
      <c r="AN19" s="87">
        <v>44010.875</v>
      </c>
      <c r="AO19" s="88">
        <v>40</v>
      </c>
      <c r="AP19" s="118"/>
      <c r="AQ19" s="153"/>
      <c r="AR19" s="154"/>
      <c r="AS19" s="134"/>
      <c r="AT19" s="107" t="str">
        <f>IF(AO11&gt;AO12,AN11,IF(AO12&gt;AO11,AN12,"winnaar 38"))</f>
        <v>1 van A</v>
      </c>
      <c r="AU19" s="117">
        <v>2</v>
      </c>
      <c r="AV19" s="63"/>
      <c r="AW19" s="63"/>
      <c r="AX19" s="62"/>
      <c r="AY19" s="63"/>
      <c r="AZ19" s="131"/>
      <c r="BA19" s="62"/>
      <c r="BB19" s="62"/>
      <c r="BC19" s="63"/>
      <c r="BD19" s="62"/>
      <c r="BE19" s="62"/>
      <c r="BF19" s="62"/>
      <c r="BG19" s="62"/>
      <c r="BH19" s="62"/>
    </row>
    <row r="20" spans="1:60" ht="15" customHeight="1" x14ac:dyDescent="0.25">
      <c r="A20" s="74" t="s">
        <v>59</v>
      </c>
      <c r="B20" s="183">
        <v>43996</v>
      </c>
      <c r="C20" s="200" t="s">
        <v>60</v>
      </c>
      <c r="D20" s="202" t="str">
        <f>A20</f>
        <v>Oostenrijk</v>
      </c>
      <c r="E20" s="203" t="s">
        <v>13</v>
      </c>
      <c r="F20" s="204" t="str">
        <f>A21</f>
        <v>Play-off D</v>
      </c>
      <c r="G20" s="78">
        <v>2</v>
      </c>
      <c r="H20" s="78" t="s">
        <v>13</v>
      </c>
      <c r="I20" s="79">
        <v>1</v>
      </c>
      <c r="J20" s="13">
        <f>IF(G20="",0,1)+IF(I23="",0,1)+IF(I25="",0,1)</f>
        <v>3</v>
      </c>
      <c r="K20" s="13">
        <f>IF(G20="",0,IF(G20&gt;I20,1,0))+IF(I23="",0,IF(I23&gt;G23,1,0))+IF(I25="",0,IF(I25&gt;G25,1,0))</f>
        <v>2</v>
      </c>
      <c r="L20" s="13">
        <f>IF(G20="",0,IF(G20=I20,1,0))+IF(I23="",0,IF(I23=G23,1,0))+IF(I25="",0,IF(I25=G25,1,0))</f>
        <v>1</v>
      </c>
      <c r="M20" s="17">
        <f t="shared" ref="M20:M23" si="4">SUMIF(D:D,A20,G:G)+SUMIF(F:F,A20,I:I)</f>
        <v>5</v>
      </c>
      <c r="N20" s="13" t="s">
        <v>13</v>
      </c>
      <c r="O20" s="18">
        <f t="shared" ref="O20:O23" si="5">SUMIF(D:D,A20,I:I)+SUMIF(F:F,A20,G:G)</f>
        <v>3</v>
      </c>
      <c r="P20" s="17">
        <f>K20*3+L20</f>
        <v>7</v>
      </c>
      <c r="Q20" s="19">
        <f>M20-O20</f>
        <v>2</v>
      </c>
      <c r="R20" s="20">
        <f>P20+Q20/10^2+M20/10^4</f>
        <v>7.0204999999999993</v>
      </c>
      <c r="S20" s="21">
        <f>IF(R20=R21,G20-I20+(Q20-Q21)/10^2+(M20-M21)/10^4,0)+IF(R20=R22,I23-G23+(Q20-Q22)/10^2+(M20-M22)/10^4,0)+IF(R20=R23,I25-G25+(Q20-Q23)/10^2+(M20-M23)/10^4,0)</f>
        <v>0</v>
      </c>
      <c r="T20" s="22">
        <f>R20+S20/10^6</f>
        <v>7.0204999999999993</v>
      </c>
      <c r="U20" s="80" t="str">
        <f>A20</f>
        <v>Oostenrijk</v>
      </c>
      <c r="V20" s="63"/>
      <c r="X20" s="81">
        <f>T20+V19/10^8</f>
        <v>7.0204999999999993</v>
      </c>
      <c r="Y20" s="82">
        <v>1</v>
      </c>
      <c r="Z20" s="83" t="str">
        <f t="array" ref="Z20">IF(COUNT(G20:I24)&lt;4,"winnaar groep C",IF(COUNTIF(AA20:AA23,AA20)&gt;1,INDEX(A1:A23,SMALL(IF(EXACT(AA20,X20:X23),ROW(X20:X23)),1),0)&amp;"/"&amp;INDEX(A1:A23,SMALL(IF(EXACT(AA20,X20:X23),ROW(X20:X23)),2),0),INDEX(U20:U23,MATCH(AA20,X20:X23,0))))</f>
        <v>Nederland</v>
      </c>
      <c r="AA20" s="84">
        <f>LARGE(X20:X23,1)</f>
        <v>7.0206</v>
      </c>
      <c r="AB20" s="68"/>
      <c r="AC20" s="72"/>
      <c r="AD20" s="72"/>
      <c r="AE20" s="57"/>
      <c r="AF20" s="58"/>
      <c r="AG20" s="58"/>
      <c r="AH20" s="114" t="s">
        <v>61</v>
      </c>
      <c r="AI20" s="115" t="str">
        <f>Z46</f>
        <v>derde groep F</v>
      </c>
      <c r="AJ20" s="115" t="str">
        <f>Z38</f>
        <v>derde groep E</v>
      </c>
      <c r="AK20" s="116" t="str">
        <f>Z30</f>
        <v>derde groep D</v>
      </c>
      <c r="AL20" s="115" t="str">
        <f>Z22</f>
        <v>Oekraïne</v>
      </c>
      <c r="AN20" s="97" t="s">
        <v>62</v>
      </c>
      <c r="AO20" s="98"/>
      <c r="AP20" s="118"/>
      <c r="AQ20" s="210" t="s">
        <v>55</v>
      </c>
      <c r="AR20" s="210"/>
      <c r="AS20" s="138"/>
      <c r="AT20" s="62"/>
      <c r="AU20" s="63"/>
      <c r="AV20" s="62"/>
      <c r="AW20" s="62"/>
      <c r="AX20" s="62"/>
      <c r="AY20" s="63"/>
      <c r="AZ20" s="131"/>
      <c r="BA20" s="62"/>
      <c r="BB20" s="135" t="s">
        <v>63</v>
      </c>
      <c r="BC20" s="88">
        <v>51</v>
      </c>
      <c r="BD20" s="62"/>
      <c r="BE20" s="62"/>
      <c r="BF20" s="62"/>
      <c r="BG20" s="62"/>
      <c r="BH20" s="62"/>
    </row>
    <row r="21" spans="1:60" ht="15" customHeight="1" thickBot="1" x14ac:dyDescent="0.3">
      <c r="A21" s="89" t="s">
        <v>64</v>
      </c>
      <c r="B21" s="183">
        <v>43996</v>
      </c>
      <c r="C21" s="200" t="s">
        <v>27</v>
      </c>
      <c r="D21" s="205" t="str">
        <f>A22</f>
        <v>Nederland</v>
      </c>
      <c r="E21" s="186" t="s">
        <v>13</v>
      </c>
      <c r="F21" s="187" t="str">
        <f>A23</f>
        <v>Oekraïne</v>
      </c>
      <c r="G21" s="78">
        <v>3</v>
      </c>
      <c r="H21" s="78" t="s">
        <v>13</v>
      </c>
      <c r="I21" s="79">
        <v>2</v>
      </c>
      <c r="J21" s="178">
        <f>IF(I20="",0,1)+IF(I22="",0,1)+IF(G24="",0,1)</f>
        <v>3</v>
      </c>
      <c r="K21" s="24">
        <f>IF(I20="",0,IF(I20&gt;G20,1,0))+IF(I22="",0,IF(I22&gt;G22,1,0))+IF(G24="",0,IF(G24&gt;I24,1,0))</f>
        <v>0</v>
      </c>
      <c r="L21" s="24">
        <f>IF(I20="",0,IF(I20=G20,1,0))+IF(I22="",0,IF(G22=I22,1,0))+IF(I24="",0,IF(G24=I24,1,0))</f>
        <v>1</v>
      </c>
      <c r="M21" s="23">
        <f t="shared" si="4"/>
        <v>4</v>
      </c>
      <c r="N21" s="24" t="s">
        <v>13</v>
      </c>
      <c r="O21" s="25">
        <f t="shared" si="5"/>
        <v>6</v>
      </c>
      <c r="P21" s="23">
        <f>K21*3+L21</f>
        <v>1</v>
      </c>
      <c r="Q21" s="26">
        <f>M21-O21</f>
        <v>-2</v>
      </c>
      <c r="R21" s="27">
        <f>P21+Q21/10^2+M21/10^4</f>
        <v>0.98039999999999994</v>
      </c>
      <c r="S21" s="28">
        <f>IF(R21=R20,I20-G20+(Q21-Q20)/10^2+(M21-M20)/10^4,0)+IF(R21=R22,G24-I24+(Q21-Q22)/10^2+(M21-M22)/10^4,0)+IF(R21=R23,I22-G22+(Q21-Q23)/10^2+(M21-M23)/10^4,0)</f>
        <v>0</v>
      </c>
      <c r="T21" s="29">
        <f>R21+S21/10^6</f>
        <v>0.98039999999999994</v>
      </c>
      <c r="U21" s="80" t="str">
        <f>A21</f>
        <v>Play-off D</v>
      </c>
      <c r="V21" s="63"/>
      <c r="X21" s="90">
        <f>T21+V20/10^8</f>
        <v>0.98039999999999994</v>
      </c>
      <c r="Y21" s="91">
        <v>2</v>
      </c>
      <c r="Z21" s="92" t="str">
        <f t="array" ref="Z21">IF(COUNT(G20:I24)&lt;4,"tweede groep C",IF(COUNTIF(AA20:AA23,AA21)&gt;1,INDEX(A1:A23,SMALL(IF(EXACT(AA21,X20:X23),ROW(X20:X23)),1),0)&amp;"/"&amp;INDEX(A1:A23,SMALL(IF(EXACT(AA21,X20:X23),ROW(X20:X23)),2),0),INDEX(U20:U23,MATCH(AA21,X20:X23,0))))</f>
        <v>Oostenrijk</v>
      </c>
      <c r="AA21" s="93">
        <f>LARGE(X20:X23,2)</f>
        <v>7.0204999999999993</v>
      </c>
      <c r="AB21" s="68"/>
      <c r="AC21" s="72"/>
      <c r="AD21" s="72"/>
      <c r="AE21" s="57"/>
      <c r="AF21" s="58"/>
      <c r="AG21" s="58"/>
      <c r="AH21" s="114"/>
      <c r="AI21" s="115"/>
      <c r="AJ21" s="115"/>
      <c r="AK21" s="116"/>
      <c r="AL21" s="115"/>
      <c r="AN21" s="107" t="str">
        <f>IF(COUNT(G12:I17)&lt;12,"1 van B",Z12)</f>
        <v>1 van B</v>
      </c>
      <c r="AO21" s="108">
        <v>3</v>
      </c>
      <c r="AP21" s="133"/>
      <c r="AQ21" s="155"/>
      <c r="AR21" s="63"/>
      <c r="AS21" s="130"/>
      <c r="AT21" s="62"/>
      <c r="AU21" s="63"/>
      <c r="AV21" s="62"/>
      <c r="AW21" s="62"/>
      <c r="AX21" s="62"/>
      <c r="AY21" s="63"/>
      <c r="AZ21" s="131"/>
      <c r="BA21" s="62"/>
      <c r="BB21" s="120">
        <v>44024.875</v>
      </c>
      <c r="BC21" s="137"/>
      <c r="BD21" s="62"/>
      <c r="BE21" s="62"/>
      <c r="BF21" s="62"/>
      <c r="BG21" s="62"/>
      <c r="BH21" s="62"/>
    </row>
    <row r="22" spans="1:60" ht="15" customHeight="1" x14ac:dyDescent="0.25">
      <c r="A22" s="89" t="s">
        <v>65</v>
      </c>
      <c r="B22" s="183">
        <v>44000</v>
      </c>
      <c r="C22" s="200" t="s">
        <v>60</v>
      </c>
      <c r="D22" s="185" t="str">
        <f>A23</f>
        <v>Oekraïne</v>
      </c>
      <c r="E22" s="186" t="s">
        <v>13</v>
      </c>
      <c r="F22" s="187" t="str">
        <f>A21</f>
        <v>Play-off D</v>
      </c>
      <c r="G22" s="78">
        <v>2</v>
      </c>
      <c r="H22" s="78" t="s">
        <v>13</v>
      </c>
      <c r="I22" s="79">
        <v>2</v>
      </c>
      <c r="J22" s="178">
        <f>IF(G21="",0,1)+IF(G23="",0,1)+IF(I24="",0,1)</f>
        <v>3</v>
      </c>
      <c r="K22" s="24">
        <f>IF(G21="",0,IF(G21&gt;I21,1,0))+IF(G23="",0,IF(G23&gt;I23,1,0))+IF(I24="",0,IF(I24&gt;G24,1,0))</f>
        <v>2</v>
      </c>
      <c r="L22" s="24">
        <f>IF(I21="",0,IF(G21=I21,1,0))+IF(I23="",0,IF(I23=G23,1,0))+IF(I24="",0,IF(I24=G24,1,0))</f>
        <v>1</v>
      </c>
      <c r="M22" s="23">
        <f t="shared" si="4"/>
        <v>6</v>
      </c>
      <c r="N22" s="24" t="s">
        <v>13</v>
      </c>
      <c r="O22" s="25">
        <f t="shared" si="5"/>
        <v>4</v>
      </c>
      <c r="P22" s="23">
        <f>K22*3+L22</f>
        <v>7</v>
      </c>
      <c r="Q22" s="26">
        <f>M22-O22</f>
        <v>2</v>
      </c>
      <c r="R22" s="27">
        <f>P22+Q22/10^2+M22/10^4</f>
        <v>7.0206</v>
      </c>
      <c r="S22" s="28">
        <f>IF(R22=R20,G23-I23+(Q22-Q20)/10^2+(M22-M20)/10^4,0)+IF(R22=R21,I24-G24+(Q22-Q21)/10^2+(M22-M21)/10^4,0)+IF(R22=R23,G21-I21+(Q22-Q23)/10^2+(M22-M23)/10^4,0)</f>
        <v>0</v>
      </c>
      <c r="T22" s="29">
        <f>R22+S22/10^6</f>
        <v>7.0206</v>
      </c>
      <c r="U22" s="80" t="str">
        <f>A22</f>
        <v>Nederland</v>
      </c>
      <c r="V22" s="63"/>
      <c r="X22" s="90">
        <f>T22+V21/10^8</f>
        <v>7.0206</v>
      </c>
      <c r="Y22" s="99">
        <v>3</v>
      </c>
      <c r="Z22" s="2" t="str">
        <f t="array" ref="Z22">IF(COUNT(G20:I24)&lt;4,"derde groep C",IF(COUNTIF(AA20:AA23,AA22)&gt;1,INDEX(A1:A23,SMALL(IF(EXACT(AA22,X20:X23),ROW(X20:X23)),1),0)&amp;"/"&amp;INDEX(A1:A23,SMALL(IF(EXACT(AA22,X20:X23),ROW(X20:X23)),2),0),INDEX(U20:U23,MATCH(AA22,X20:X23,0))))</f>
        <v>Oekraïne</v>
      </c>
      <c r="AA22" s="140">
        <f>LARGE(X20:X23,3)</f>
        <v>0.98049999999999993</v>
      </c>
      <c r="AB22" s="101">
        <f>AA22</f>
        <v>0.98049999999999993</v>
      </c>
      <c r="AC22" s="102" t="str">
        <f>IF(AND(COUNT(G$4:I$49)=72,COUNTIF(AB$6:AB$47,AB22)&gt;1,RANK(AB22,AB$6:AB$47)&lt;=4),Z22,"")</f>
        <v/>
      </c>
      <c r="AD22" s="102"/>
      <c r="AE22" s="57"/>
      <c r="AF22" s="122"/>
      <c r="AG22" s="103">
        <f>AB22+SUMIF(AE$7:AE$14,Z22,AF$7:AF$14)/10^10</f>
        <v>0.98049999999999993</v>
      </c>
      <c r="AH22" s="156" t="str">
        <f>IF(RANK(AG6,AG6:AG46)&lt;=4,"A","")&amp;IF(RANK(AG14,AG6:AG46)&lt;=4,"B","")&amp;IF(RANK(AG22,AG6:AG46)&lt;=4,"C","")&amp;IF(RANK(AG30,AG6:AG46)&lt;=4,"D","")&amp;IF(RANK(AG38,AG6:AG46)&lt;=4,"E","")&amp;IF(RANK(AG46,AG6:AG46)&lt;=4,"F","")</f>
        <v>BCDEF</v>
      </c>
      <c r="AI22" s="157" t="str">
        <f>IFERROR(VLOOKUP(AH22,AH6:AL20,2,0),"")</f>
        <v/>
      </c>
      <c r="AJ22" s="157" t="str">
        <f>IFERROR(VLOOKUP(AH22,AH6:AL20,3,0),"")</f>
        <v/>
      </c>
      <c r="AK22" s="157" t="str">
        <f>IFERROR(VLOOKUP(AH22,AH6:AL20,4,0),"")</f>
        <v/>
      </c>
      <c r="AL22" s="157" t="str">
        <f>IFERROR(VLOOKUP(AH22,AH6:AL20,5,0),"")</f>
        <v/>
      </c>
      <c r="AN22" s="107" t="str">
        <f>IF(COUNT(G44:I49)&lt;12,"beste nummer 3 A/D/E/F",AI22)</f>
        <v>beste nummer 3 A/D/E/F</v>
      </c>
      <c r="AO22" s="117">
        <v>2</v>
      </c>
      <c r="AP22" s="129"/>
      <c r="AQ22" s="63"/>
      <c r="AR22" s="131"/>
      <c r="AS22" s="130"/>
      <c r="AT22" s="62"/>
      <c r="AU22" s="63"/>
      <c r="AV22" s="62"/>
      <c r="AW22" s="62"/>
      <c r="AX22" s="62"/>
      <c r="AY22" s="63"/>
      <c r="AZ22" s="131"/>
      <c r="BA22" s="62"/>
      <c r="BB22" s="124" t="s">
        <v>38</v>
      </c>
      <c r="BC22" s="98"/>
      <c r="BD22" s="62"/>
      <c r="BE22" s="62"/>
      <c r="BF22" s="62"/>
      <c r="BG22" s="62"/>
      <c r="BH22" s="62"/>
    </row>
    <row r="23" spans="1:60" ht="15" customHeight="1" thickBot="1" x14ac:dyDescent="0.3">
      <c r="A23" s="110" t="s">
        <v>66</v>
      </c>
      <c r="B23" s="183">
        <v>44000</v>
      </c>
      <c r="C23" s="200" t="s">
        <v>27</v>
      </c>
      <c r="D23" s="205" t="str">
        <f>A22</f>
        <v>Nederland</v>
      </c>
      <c r="E23" s="186" t="s">
        <v>13</v>
      </c>
      <c r="F23" s="187" t="str">
        <f>A20</f>
        <v>Oostenrijk</v>
      </c>
      <c r="G23" s="78">
        <v>1</v>
      </c>
      <c r="H23" s="78" t="s">
        <v>13</v>
      </c>
      <c r="I23" s="79">
        <v>1</v>
      </c>
      <c r="J23" s="31">
        <f>IF(I21="",0,1)+IF(G22="",0,1)+IF(G25="",0,1)</f>
        <v>3</v>
      </c>
      <c r="K23" s="31">
        <f>IF(I21="",0,IF(I21&gt;G21,1,0))+IF(G22="",0,IF(G22&gt;I22,1,0))+IF(G25="",0,IF(G25&gt;I25,1,0))</f>
        <v>0</v>
      </c>
      <c r="L23" s="31">
        <f>IF(I21="",0,IF(I21=G21,1,0))+IF(I22="",0,IF(I22=G22,1,0))+IF(I25="",0,IF(G25=I25,1,0))</f>
        <v>1</v>
      </c>
      <c r="M23" s="30">
        <f t="shared" si="4"/>
        <v>5</v>
      </c>
      <c r="N23" s="31" t="s">
        <v>13</v>
      </c>
      <c r="O23" s="32">
        <f t="shared" si="5"/>
        <v>7</v>
      </c>
      <c r="P23" s="30">
        <f>K23*3+L23</f>
        <v>1</v>
      </c>
      <c r="Q23" s="33">
        <f>M23-O23</f>
        <v>-2</v>
      </c>
      <c r="R23" s="34">
        <f>P23+Q23/10^2+M23/10^4</f>
        <v>0.98049999999999993</v>
      </c>
      <c r="S23" s="35">
        <f>IF(R23=R20,G25-I25+(Q23-Q20)/10^2+(M23-M20)/10^4,0)+IF(R23=R21,G22-I22+(Q23-Q21)/10^2+(M23-M21)/10^4,0)+IF(R23=R22,I21-G21+(Q23-Q22)/10^2+(M23-M22)/10^4,0)</f>
        <v>0</v>
      </c>
      <c r="T23" s="36">
        <f>R23+S23/10^6</f>
        <v>0.98049999999999993</v>
      </c>
      <c r="U23" s="80" t="str">
        <f>A23</f>
        <v>Oekraïne</v>
      </c>
      <c r="V23" s="85"/>
      <c r="X23" s="111">
        <f>T23+V22/10^8</f>
        <v>0.98049999999999993</v>
      </c>
      <c r="Y23" s="112">
        <v>4</v>
      </c>
      <c r="Z23" s="3" t="str">
        <f t="array" ref="Z23">IF(COUNT(G20:I24)&lt;4,"",IF(COUNTIF(AA20:AA23,AA23)&gt;1,INDEX(A1:A23,SMALL(IF(EXACT(AA23,X20:X23),ROW(X20:X23)),1),0)&amp;"/"&amp;INDEX(A1:A23,SMALL(IF(EXACT(AA23,X20:X23),ROW(X20:X23)),2),0),INDEX(U20:U23,MATCH(AA23,X20:X23,0))))</f>
        <v>Play-off D</v>
      </c>
      <c r="AA23" s="146">
        <f>LARGE(X20:X23,4)</f>
        <v>0.98039999999999994</v>
      </c>
      <c r="AB23" s="68"/>
      <c r="AC23" s="72"/>
      <c r="AD23" s="72"/>
      <c r="AE23" s="57"/>
      <c r="AF23" s="72"/>
      <c r="AG23" s="58"/>
      <c r="AH23" s="85"/>
      <c r="AI23" s="158"/>
      <c r="AN23" s="62"/>
      <c r="AO23" s="63"/>
      <c r="AP23" s="131"/>
      <c r="AQ23" s="62"/>
      <c r="AR23" s="62"/>
      <c r="AS23" s="138"/>
      <c r="AT23" s="62"/>
      <c r="AU23" s="63"/>
      <c r="AV23" s="62"/>
      <c r="AW23" s="62"/>
      <c r="AX23" s="62"/>
      <c r="AY23" s="63"/>
      <c r="AZ23" s="131"/>
      <c r="BA23" s="159"/>
      <c r="BB23" s="107" t="str">
        <f>IF(AY14&gt;AY15,AX14,IF(AY15&gt;AY14,AX15,"winnaar 49"))</f>
        <v>beste nummer 3 A/B/C</v>
      </c>
      <c r="BC23" s="144">
        <v>1</v>
      </c>
      <c r="BD23" s="62"/>
      <c r="BE23" s="62"/>
      <c r="BF23" s="62"/>
      <c r="BG23" s="62"/>
      <c r="BH23" s="62"/>
    </row>
    <row r="24" spans="1:60" ht="15" customHeight="1" x14ac:dyDescent="0.25">
      <c r="A24" s="67"/>
      <c r="B24" s="183">
        <v>44004</v>
      </c>
      <c r="C24" s="200" t="s">
        <v>27</v>
      </c>
      <c r="D24" s="185" t="str">
        <f>A21</f>
        <v>Play-off D</v>
      </c>
      <c r="E24" s="186" t="s">
        <v>13</v>
      </c>
      <c r="F24" s="206" t="str">
        <f>A22</f>
        <v>Nederland</v>
      </c>
      <c r="G24" s="78">
        <v>1</v>
      </c>
      <c r="H24" s="78" t="s">
        <v>13</v>
      </c>
      <c r="I24" s="79">
        <v>2</v>
      </c>
      <c r="J24" s="8"/>
      <c r="K24" s="8"/>
      <c r="L24" s="8"/>
      <c r="M24" s="8"/>
      <c r="N24" s="8"/>
      <c r="O24" s="8"/>
      <c r="P24" s="40"/>
      <c r="Q24" s="41"/>
      <c r="R24" s="8"/>
      <c r="S24" s="42"/>
      <c r="T24" s="39"/>
      <c r="U24" s="121"/>
      <c r="V24" s="85"/>
      <c r="X24" s="68"/>
      <c r="Y24" s="122"/>
      <c r="Z24" s="8"/>
      <c r="AA24" s="150"/>
      <c r="AB24" s="68"/>
      <c r="AC24" s="72"/>
      <c r="AD24" s="72"/>
      <c r="AE24" s="57"/>
      <c r="AF24" s="72"/>
      <c r="AG24" s="58"/>
      <c r="AH24" s="85"/>
      <c r="AI24" s="158"/>
      <c r="AN24" s="87">
        <v>44011.75</v>
      </c>
      <c r="AO24" s="88">
        <v>41</v>
      </c>
      <c r="AP24" s="118"/>
      <c r="AS24" s="134"/>
      <c r="AT24" s="62"/>
      <c r="AU24" s="63"/>
      <c r="AV24" s="62"/>
      <c r="AW24" s="62"/>
      <c r="AX24" s="62"/>
      <c r="AY24" s="63"/>
      <c r="AZ24" s="131"/>
      <c r="BA24" s="62"/>
      <c r="BB24" s="107" t="str">
        <f>IF(AY32&gt;AY33,AX32,IF(AY33&gt;AY32,AX33,"winnaar 50"))</f>
        <v>1 van C</v>
      </c>
      <c r="BC24" s="148">
        <v>2</v>
      </c>
      <c r="BD24" s="62"/>
      <c r="BE24" s="62"/>
      <c r="BF24" s="62"/>
      <c r="BG24" s="62"/>
      <c r="BH24" s="62"/>
    </row>
    <row r="25" spans="1:60" ht="15" customHeight="1" x14ac:dyDescent="0.25">
      <c r="B25" s="184">
        <v>44004</v>
      </c>
      <c r="C25" s="201" t="s">
        <v>60</v>
      </c>
      <c r="D25" s="188" t="str">
        <f>A23</f>
        <v>Oekraïne</v>
      </c>
      <c r="E25" s="189" t="s">
        <v>13</v>
      </c>
      <c r="F25" s="207" t="str">
        <f>A20</f>
        <v>Oostenrijk</v>
      </c>
      <c r="G25" s="78">
        <v>1</v>
      </c>
      <c r="H25" s="78" t="s">
        <v>13</v>
      </c>
      <c r="I25" s="79">
        <v>2</v>
      </c>
      <c r="J25" s="8"/>
      <c r="K25" s="8"/>
      <c r="L25" s="8"/>
      <c r="M25" s="8"/>
      <c r="N25" s="8"/>
      <c r="O25" s="8"/>
      <c r="P25" s="40"/>
      <c r="Q25" s="41"/>
      <c r="R25" s="8"/>
      <c r="S25" s="42"/>
      <c r="T25" s="39"/>
      <c r="U25" s="121"/>
      <c r="V25" s="85"/>
      <c r="X25" s="68"/>
      <c r="Y25" s="122"/>
      <c r="Z25" s="8"/>
      <c r="AA25" s="150"/>
      <c r="AB25" s="68"/>
      <c r="AC25" s="72"/>
      <c r="AD25" s="72"/>
      <c r="AE25" s="57"/>
      <c r="AF25" s="72"/>
      <c r="AG25" s="58"/>
      <c r="AH25" s="85"/>
      <c r="AI25" s="158"/>
      <c r="AN25" s="97" t="s">
        <v>43</v>
      </c>
      <c r="AO25" s="98"/>
      <c r="AP25" s="118"/>
      <c r="AQ25" s="182"/>
      <c r="AR25" s="210" t="s">
        <v>55</v>
      </c>
      <c r="AS25" s="210"/>
      <c r="AT25" s="120">
        <v>44016.75</v>
      </c>
      <c r="AU25" s="88">
        <v>47</v>
      </c>
      <c r="AV25" s="62"/>
      <c r="AW25" s="62"/>
      <c r="AX25" s="62"/>
      <c r="AY25" s="63"/>
      <c r="AZ25" s="131"/>
      <c r="BA25" s="62"/>
      <c r="BB25" s="62"/>
      <c r="BC25" s="63"/>
      <c r="BD25" s="62"/>
      <c r="BE25" s="62"/>
      <c r="BF25" s="62"/>
      <c r="BG25" s="62"/>
      <c r="BH25" s="62"/>
    </row>
    <row r="26" spans="1:60" ht="15" customHeight="1" thickBot="1" x14ac:dyDescent="0.3">
      <c r="A26" s="67"/>
      <c r="J26" s="8"/>
      <c r="K26" s="8"/>
      <c r="L26" s="8"/>
      <c r="M26" s="8"/>
      <c r="N26" s="8"/>
      <c r="O26" s="8"/>
      <c r="P26" s="40"/>
      <c r="Q26" s="41"/>
      <c r="R26" s="8"/>
      <c r="S26" s="42"/>
      <c r="T26" s="39"/>
      <c r="U26" s="121"/>
      <c r="V26" s="62"/>
      <c r="X26" s="68"/>
      <c r="Y26" s="122"/>
      <c r="Z26" s="8"/>
      <c r="AA26" s="150"/>
      <c r="AB26" s="68"/>
      <c r="AC26" s="72"/>
      <c r="AD26" s="72"/>
      <c r="AE26" s="57"/>
      <c r="AF26" s="72"/>
      <c r="AG26" s="58"/>
      <c r="AH26" s="85"/>
      <c r="AI26" s="158"/>
      <c r="AN26" s="107" t="str">
        <f>IF(COUNT(G28:I33)&lt;12,"2 van D",Z29)</f>
        <v>2 van D</v>
      </c>
      <c r="AO26" s="108">
        <v>0</v>
      </c>
      <c r="AP26" s="133"/>
      <c r="AQ26" s="109"/>
      <c r="AR26" s="109"/>
      <c r="AS26" s="138"/>
      <c r="AT26" s="124" t="s">
        <v>21</v>
      </c>
      <c r="AU26" s="98"/>
      <c r="AV26" s="63"/>
      <c r="AW26" s="62"/>
      <c r="AX26" s="62"/>
      <c r="AY26" s="63"/>
      <c r="AZ26" s="131"/>
      <c r="BA26" s="62"/>
      <c r="BB26" s="62"/>
      <c r="BC26" s="63"/>
      <c r="BD26" s="62"/>
      <c r="BE26" s="62"/>
      <c r="BF26" s="62"/>
      <c r="BG26" s="62"/>
      <c r="BH26" s="62"/>
    </row>
    <row r="27" spans="1:60" ht="15" customHeight="1" thickBot="1" x14ac:dyDescent="0.3">
      <c r="A27" s="67"/>
      <c r="B27" s="181" t="s">
        <v>6</v>
      </c>
      <c r="C27" s="181" t="s">
        <v>7</v>
      </c>
      <c r="D27" s="224" t="s">
        <v>67</v>
      </c>
      <c r="E27" s="225"/>
      <c r="F27" s="225"/>
      <c r="G27" s="225"/>
      <c r="H27" s="225"/>
      <c r="I27" s="226"/>
      <c r="J27" s="177" t="s">
        <v>9</v>
      </c>
      <c r="K27" s="11" t="s">
        <v>10</v>
      </c>
      <c r="L27" s="11" t="s">
        <v>11</v>
      </c>
      <c r="M27" s="10" t="s">
        <v>12</v>
      </c>
      <c r="N27" s="11"/>
      <c r="O27" s="12" t="s">
        <v>13</v>
      </c>
      <c r="P27" s="13" t="s">
        <v>14</v>
      </c>
      <c r="Q27" s="14" t="s">
        <v>15</v>
      </c>
      <c r="R27" s="15" t="s">
        <v>16</v>
      </c>
      <c r="S27" s="16" t="s">
        <v>17</v>
      </c>
      <c r="T27" s="44" t="s">
        <v>16</v>
      </c>
      <c r="U27" s="63" t="str">
        <f>IF(AND(COUNT(G28:I33)=12,OR(T28=T29,T28=T30,T28=T31,T29=T30,T29=T31,T30=T31)),"loten:","")</f>
        <v/>
      </c>
      <c r="V27" s="63"/>
      <c r="X27" s="68"/>
      <c r="Y27" s="132"/>
      <c r="Z27" s="5" t="s">
        <v>67</v>
      </c>
      <c r="AA27" s="71" t="s">
        <v>16</v>
      </c>
      <c r="AB27" s="68"/>
      <c r="AC27" s="72"/>
      <c r="AD27" s="72"/>
      <c r="AE27" s="57"/>
      <c r="AF27" s="72"/>
      <c r="AG27" s="58"/>
      <c r="AH27" s="85"/>
      <c r="AI27" s="158"/>
      <c r="AN27" s="107" t="str">
        <f>IF(COUNT(G36:I41)&lt;12,"2 van E",Z37)</f>
        <v>2 van E</v>
      </c>
      <c r="AO27" s="117">
        <v>2</v>
      </c>
      <c r="AP27" s="129"/>
      <c r="AQ27" s="160"/>
      <c r="AR27" s="109"/>
      <c r="AS27" s="161"/>
      <c r="AT27" s="107" t="str">
        <f>IF(AO6&gt;AO7,AN6,IF(AO7&gt;AO6,AN7,"winnaar 37"))</f>
        <v>2 van B</v>
      </c>
      <c r="AU27" s="108">
        <v>0</v>
      </c>
      <c r="AV27" s="63"/>
      <c r="AW27" s="63"/>
      <c r="AX27" s="62"/>
      <c r="AY27" s="63"/>
      <c r="AZ27" s="131"/>
      <c r="BA27" s="62"/>
      <c r="BB27" s="62"/>
      <c r="BC27" s="63"/>
      <c r="BD27" s="62"/>
      <c r="BE27" s="62"/>
      <c r="BF27" s="62"/>
      <c r="BG27" s="62"/>
      <c r="BH27" s="62"/>
    </row>
    <row r="28" spans="1:60" ht="15" customHeight="1" x14ac:dyDescent="0.25">
      <c r="A28" s="74" t="s">
        <v>68</v>
      </c>
      <c r="B28" s="183">
        <v>43996</v>
      </c>
      <c r="C28" s="190" t="s">
        <v>38</v>
      </c>
      <c r="D28" s="167" t="str">
        <f>A28</f>
        <v>Engeland</v>
      </c>
      <c r="E28" s="168" t="s">
        <v>13</v>
      </c>
      <c r="F28" s="169" t="str">
        <f>A29</f>
        <v>Kroatië</v>
      </c>
      <c r="G28" s="78"/>
      <c r="H28" s="78" t="s">
        <v>13</v>
      </c>
      <c r="I28" s="79"/>
      <c r="J28" s="13">
        <f>IF(G28="",0,1)+IF(G31="",0,1)+IF(I33="",0,1)</f>
        <v>0</v>
      </c>
      <c r="K28" s="13">
        <f>IF(G28="",0,IF(G28&gt;I28,1,0))+IF(G31="",0,IF(G31&gt;I31,1,0))+IF(I33="",0,IF(I33&gt;G33,1,0))</f>
        <v>0</v>
      </c>
      <c r="L28" s="13">
        <f>IF(G28="",0,IF(G28=I28,1,0))+IF(G31="",0,IF(G31=I31,1,0))+IF(I33="",0,IF(I33=G33,1,0))</f>
        <v>0</v>
      </c>
      <c r="M28" s="17">
        <f t="shared" ref="M28:M31" si="6">SUMIF(D:D,A28,G:G)+SUMIF(F:F,A28,I:I)</f>
        <v>0</v>
      </c>
      <c r="N28" s="13" t="s">
        <v>13</v>
      </c>
      <c r="O28" s="18">
        <f t="shared" ref="O28:O31" si="7">SUMIF(D:D,A28,I:I)+SUMIF(F:F,A28,G:G)</f>
        <v>0</v>
      </c>
      <c r="P28" s="17">
        <f>K28*3+L28</f>
        <v>0</v>
      </c>
      <c r="Q28" s="19">
        <f>M28-O28</f>
        <v>0</v>
      </c>
      <c r="R28" s="20">
        <f>P28+Q28/10^2+M28/10^4</f>
        <v>0</v>
      </c>
      <c r="S28" s="21">
        <f>IF(R28=R29,G28-I28+(Q28-Q29)/10^2+(M28-M29)/10^4,0)+IF(R28=R30,G31-I31+(Q28-Q30)/10^2+(M28-M30)/10^4,0)+IF(R28=R31,I33-G33+(Q28-Q31)/10^2+(M28-M31)/10^4,0)</f>
        <v>0</v>
      </c>
      <c r="T28" s="22">
        <f>R28+S28/10^6</f>
        <v>0</v>
      </c>
      <c r="U28" s="80" t="str">
        <f>A28</f>
        <v>Engeland</v>
      </c>
      <c r="V28" s="63"/>
      <c r="X28" s="81">
        <f>T28+V27/10^8</f>
        <v>0</v>
      </c>
      <c r="Y28" s="82">
        <v>1</v>
      </c>
      <c r="Z28" s="83" t="str">
        <f t="array" ref="Z28">IF(COUNT(G28:I33)&lt;4,"winnaar groep D",IF(COUNTIF(AA28:AA31,AA28)&gt;1,INDEX(A1:A31,SMALL(IF(EXACT(AA28,X28:X31),ROW(X28:X31)),1),0)&amp;"/"&amp;INDEX(A1:A31,SMALL(IF(EXACT(AA28,X28:X31),ROW(X28:X31)),2),0),INDEX(U28:U31,MATCH(AA28,X28:X31,0))))</f>
        <v>winnaar groep D</v>
      </c>
      <c r="AA28" s="84">
        <f>LARGE(X28:X31,1)</f>
        <v>0</v>
      </c>
      <c r="AB28" s="68"/>
      <c r="AC28" s="72"/>
      <c r="AD28" s="72"/>
      <c r="AE28" s="57"/>
      <c r="AF28" s="72"/>
      <c r="AG28" s="58"/>
      <c r="AH28" s="85"/>
      <c r="AI28" s="158"/>
      <c r="AN28" s="62"/>
      <c r="AO28" s="63"/>
      <c r="AP28" s="62"/>
      <c r="AQ28" s="62"/>
      <c r="AR28" s="62"/>
      <c r="AS28" s="138"/>
      <c r="AT28" s="107" t="str">
        <f>IF(AO16&gt;AO17,AN16,IF(AO17&gt;AO16,AN17,"winnaar 39"))</f>
        <v>1 van C</v>
      </c>
      <c r="AU28" s="117">
        <v>1</v>
      </c>
      <c r="AV28" s="162"/>
      <c r="AW28" s="63"/>
      <c r="AX28" s="62"/>
      <c r="AY28" s="63"/>
      <c r="AZ28" s="131"/>
      <c r="BA28" s="62"/>
      <c r="BB28" s="62"/>
      <c r="BC28" s="63"/>
      <c r="BD28" s="62"/>
      <c r="BE28" s="62"/>
      <c r="BF28" s="62"/>
      <c r="BG28" s="62"/>
      <c r="BH28" s="62"/>
    </row>
    <row r="29" spans="1:60" x14ac:dyDescent="0.25">
      <c r="A29" s="89" t="s">
        <v>69</v>
      </c>
      <c r="B29" s="183">
        <v>43997</v>
      </c>
      <c r="C29" s="190" t="s">
        <v>70</v>
      </c>
      <c r="D29" s="75" t="str">
        <f>A30</f>
        <v>Play-off C</v>
      </c>
      <c r="E29" s="76" t="s">
        <v>13</v>
      </c>
      <c r="F29" s="77" t="str">
        <f>A31</f>
        <v>Tsjechië</v>
      </c>
      <c r="G29" s="78"/>
      <c r="H29" s="78" t="s">
        <v>13</v>
      </c>
      <c r="I29" s="79"/>
      <c r="J29" s="178">
        <f>IF(I28="",0,1)+IF(G30="",0,1)+IF(G32="",0,1)</f>
        <v>0</v>
      </c>
      <c r="K29" s="24">
        <f>IF(I28="",0,IF(I28&gt;G28,1,0))+IF(G30="",0,IF(G30&gt;I30,1,0))+IF(G32="",0,IF(G32&gt;I32,1,0))</f>
        <v>0</v>
      </c>
      <c r="L29" s="24">
        <f>IF(I28="",0,IF(I28=G28,1,0))+IF(G30="",0,IF(I30=G30,1,0))+IF(I32="",0,IF(G32=I32,1,0))</f>
        <v>0</v>
      </c>
      <c r="M29" s="23">
        <f t="shared" si="6"/>
        <v>0</v>
      </c>
      <c r="N29" s="24" t="s">
        <v>13</v>
      </c>
      <c r="O29" s="25">
        <f t="shared" si="7"/>
        <v>0</v>
      </c>
      <c r="P29" s="23">
        <f>K29*3+L29</f>
        <v>0</v>
      </c>
      <c r="Q29" s="26">
        <f>M29-O29</f>
        <v>0</v>
      </c>
      <c r="R29" s="27">
        <f>P29+Q29/10^2+M29/10^4</f>
        <v>0</v>
      </c>
      <c r="S29" s="28">
        <f>IF(R29=R28,I28-G28+(Q29-Q28)/10^2+(M29-M28)/10^4,0)+IF(R29=R30,G32-I32+(Q29-Q30)/10^2+(M29-M30)/10^4,0)+IF(R29=R31,G30-I30+(Q29-Q31)/10^2+(M29-M31)/10^4,0)</f>
        <v>0</v>
      </c>
      <c r="T29" s="29">
        <f>R29+S29/10^6</f>
        <v>0</v>
      </c>
      <c r="U29" s="80" t="str">
        <f>A29</f>
        <v>Kroatië</v>
      </c>
      <c r="V29" s="63"/>
      <c r="X29" s="90">
        <f>T29+V28/10^8</f>
        <v>0</v>
      </c>
      <c r="Y29" s="91">
        <v>2</v>
      </c>
      <c r="Z29" s="92" t="str">
        <f t="array" ref="Z29">IF(COUNT(G28:I33)&lt;4,"tweede groep D",IF(COUNTIF(AA28:AA31,AA29)&gt;1,INDEX(A1:A31,SMALL(IF(EXACT(AA29,X28:X31),ROW(X28:X31)),1),0)&amp;"/"&amp;INDEX(A1:A31,SMALL(IF(EXACT(AA29,X28:X31),ROW(X28:X31)),2),0),INDEX(U28:U31,MATCH(AA29,X28:X31,0))))</f>
        <v>tweede groep D</v>
      </c>
      <c r="AA29" s="93">
        <f>LARGE(X28:X31,2)</f>
        <v>0</v>
      </c>
      <c r="AB29" s="68"/>
      <c r="AC29" s="72"/>
      <c r="AD29" s="72"/>
      <c r="AE29" s="57"/>
      <c r="AF29" s="72"/>
      <c r="AG29" s="58"/>
      <c r="AH29" s="85"/>
      <c r="AI29" s="158"/>
      <c r="AN29" s="87">
        <v>44011.875</v>
      </c>
      <c r="AO29" s="88">
        <v>42</v>
      </c>
      <c r="AQ29" s="119"/>
      <c r="AR29" s="119"/>
      <c r="AS29" s="134"/>
      <c r="AT29" s="62"/>
      <c r="AU29" s="63"/>
      <c r="AV29" s="208" t="s">
        <v>34</v>
      </c>
      <c r="AW29" s="211"/>
      <c r="AX29" s="135" t="s">
        <v>41</v>
      </c>
      <c r="AY29" s="88">
        <v>50</v>
      </c>
      <c r="AZ29" s="131"/>
      <c r="BA29" s="62"/>
      <c r="BB29" s="62"/>
      <c r="BC29" s="63"/>
      <c r="BD29" s="62"/>
      <c r="BE29" s="62"/>
      <c r="BF29" s="62"/>
      <c r="BG29" s="62"/>
      <c r="BH29" s="62"/>
    </row>
    <row r="30" spans="1:60" ht="15" customHeight="1" x14ac:dyDescent="0.25">
      <c r="A30" s="89" t="s">
        <v>71</v>
      </c>
      <c r="B30" s="183">
        <v>44001</v>
      </c>
      <c r="C30" s="190" t="s">
        <v>70</v>
      </c>
      <c r="D30" s="75" t="str">
        <f>A29</f>
        <v>Kroatië</v>
      </c>
      <c r="E30" s="76" t="s">
        <v>13</v>
      </c>
      <c r="F30" s="77" t="str">
        <f>A31</f>
        <v>Tsjechië</v>
      </c>
      <c r="G30" s="78"/>
      <c r="H30" s="78" t="s">
        <v>13</v>
      </c>
      <c r="I30" s="79"/>
      <c r="J30" s="178">
        <f>IF(G29="",0,1)+IF(I31="",0,1)+IF(I32="",0,1)</f>
        <v>0</v>
      </c>
      <c r="K30" s="24">
        <f>IF(G29="",0,IF(G29&gt;I29,1,0))+IF(I31="",0,IF(I31&gt;G31,1,0))+IF(I32="",0,IF(I32&gt;G32,1,0))</f>
        <v>0</v>
      </c>
      <c r="L30" s="24">
        <f>IF(I29="",0,IF(G29=I29,1,0))+IF(G31="",0,IF(G31=I31,1,0))+IF(I32="",0,IF(I32=G32,1,0))</f>
        <v>0</v>
      </c>
      <c r="M30" s="23">
        <f t="shared" si="6"/>
        <v>0</v>
      </c>
      <c r="N30" s="24" t="s">
        <v>13</v>
      </c>
      <c r="O30" s="25">
        <f t="shared" si="7"/>
        <v>0</v>
      </c>
      <c r="P30" s="23">
        <f>K30*3+L30</f>
        <v>0</v>
      </c>
      <c r="Q30" s="26">
        <f>M30-O30</f>
        <v>0</v>
      </c>
      <c r="R30" s="27">
        <f>P30+Q30/10^2+M30/10^4</f>
        <v>0</v>
      </c>
      <c r="S30" s="28">
        <f>IF(R30=R28,I31-G31+(Q30-Q28)/10^2+(M30-M28)/10^4,0)+IF(R30=R29,I32-G32+(Q30-Q29)/10^2+(M30-M29)/10^4,0)+IF(R30=R31,G29-I29+(Q30-Q31)/10^2+(M30-M31)/10^4,0)</f>
        <v>0</v>
      </c>
      <c r="T30" s="29">
        <f>R30+S30/10^6</f>
        <v>0</v>
      </c>
      <c r="U30" s="80" t="str">
        <f>A30</f>
        <v>Play-off C</v>
      </c>
      <c r="V30" s="63"/>
      <c r="X30" s="90">
        <f>T30+V29/10^8</f>
        <v>0</v>
      </c>
      <c r="Y30" s="99">
        <v>3</v>
      </c>
      <c r="Z30" s="2" t="str">
        <f t="array" ref="Z30">IF(COUNT(G28:I33)&lt;4,"derde groep D",IF(COUNTIF(AA28:AA31,AA30)&gt;1,INDEX(A1:A31,SMALL(IF(EXACT(AA30,X28:X31),ROW(X28:X31)),1),0)&amp;"/"&amp;INDEX(A1:A31,SMALL(IF(EXACT(AA30,X28:X31),ROW(X28:X31)),2),0),INDEX(U28:U31,MATCH(AA30,X28:X31,0))))</f>
        <v>derde groep D</v>
      </c>
      <c r="AA30" s="140">
        <f>LARGE(X28:X31,3)</f>
        <v>0</v>
      </c>
      <c r="AB30" s="101">
        <f>AA30</f>
        <v>0</v>
      </c>
      <c r="AC30" s="102" t="str">
        <f>IF(AND(COUNT(G$4:I$49)=72,COUNTIF(AB$6:AB$47,AB30)&gt;1,RANK(AB30,AB$6:AB$47)&lt;=4),Z30,"")</f>
        <v/>
      </c>
      <c r="AD30" s="102"/>
      <c r="AE30" s="57"/>
      <c r="AF30" s="122"/>
      <c r="AG30" s="103">
        <f>AB30+SUMIF(AE$7:AE$14,Z30,AF$7:AF$14)/10^10</f>
        <v>0</v>
      </c>
      <c r="AH30" s="85"/>
      <c r="AI30" s="158"/>
      <c r="AN30" s="97" t="s">
        <v>60</v>
      </c>
      <c r="AO30" s="98"/>
      <c r="AQ30" s="182"/>
      <c r="AR30" s="210" t="s">
        <v>55</v>
      </c>
      <c r="AS30" s="210"/>
      <c r="AT30" s="62"/>
      <c r="AU30" s="63"/>
      <c r="AV30" s="131"/>
      <c r="AW30" s="62"/>
      <c r="AX30" s="120">
        <v>44020.875</v>
      </c>
      <c r="AY30" s="137"/>
      <c r="AZ30" s="129"/>
      <c r="BA30" s="62"/>
      <c r="BB30" s="62"/>
      <c r="BC30" s="63"/>
      <c r="BD30" s="62"/>
      <c r="BE30" s="62"/>
      <c r="BF30" s="62"/>
      <c r="BG30" s="62"/>
      <c r="BH30" s="62"/>
    </row>
    <row r="31" spans="1:60" ht="15" customHeight="1" thickBot="1" x14ac:dyDescent="0.3">
      <c r="A31" s="110" t="s">
        <v>72</v>
      </c>
      <c r="B31" s="183">
        <v>44001</v>
      </c>
      <c r="C31" s="190" t="s">
        <v>38</v>
      </c>
      <c r="D31" s="75" t="str">
        <f>A28</f>
        <v>Engeland</v>
      </c>
      <c r="E31" s="76" t="s">
        <v>13</v>
      </c>
      <c r="F31" s="77" t="str">
        <f>A30</f>
        <v>Play-off C</v>
      </c>
      <c r="G31" s="78"/>
      <c r="H31" s="78" t="s">
        <v>13</v>
      </c>
      <c r="I31" s="79"/>
      <c r="J31" s="31">
        <f>IF(I29="",0,1)+IF(I30="",0,1)+IF(G33="",0,1)</f>
        <v>0</v>
      </c>
      <c r="K31" s="31">
        <f>IF(I29="",0,IF(I29&gt;G29,1,0))+IF(I30="",0,IF(I30&gt;G30,1,0))+IF(G33="",0,IF(G33&gt;I33,1,0))</f>
        <v>0</v>
      </c>
      <c r="L31" s="31">
        <f>IF(I29="",0,IF(I29=G29,1,0))+IF(G30="",0,IF(G30=I30,1,0))+IF(I33="",0,IF(G33=I33,1,0))</f>
        <v>0</v>
      </c>
      <c r="M31" s="30">
        <f t="shared" si="6"/>
        <v>0</v>
      </c>
      <c r="N31" s="31" t="s">
        <v>13</v>
      </c>
      <c r="O31" s="32">
        <f t="shared" si="7"/>
        <v>0</v>
      </c>
      <c r="P31" s="30">
        <f>K31*3+L31</f>
        <v>0</v>
      </c>
      <c r="Q31" s="33">
        <f>M31-O31</f>
        <v>0</v>
      </c>
      <c r="R31" s="34">
        <f>P31+Q31/10^2+M31/10^4</f>
        <v>0</v>
      </c>
      <c r="S31" s="35">
        <f>IF(R31=R28,G33-I33+(Q31-Q28)/10^2+(M31-M28)/10^4,0)+IF(R31=R29,I30-G30+(Q31-Q29)/10^2+(M31-M29)/10^4,0)+IF(R31=R30,I29-G29+(Q31-Q30)/10^2+(M31-M30)/10^4,0)</f>
        <v>0</v>
      </c>
      <c r="T31" s="36">
        <f>R31+S31/10^6</f>
        <v>0</v>
      </c>
      <c r="U31" s="80" t="str">
        <f>A31</f>
        <v>Tsjechië</v>
      </c>
      <c r="V31" s="85"/>
      <c r="X31" s="111">
        <f>T31+V30/10^8</f>
        <v>0</v>
      </c>
      <c r="Y31" s="112">
        <v>4</v>
      </c>
      <c r="Z31" s="3" t="str">
        <f t="array" ref="Z31">IF(COUNT(G28:I33)&lt;4,"",IF(COUNTIF(AA28:AA31,AA31)&gt;1,INDEX(A1:A31,SMALL(IF(EXACT(AA31,X28:X31),ROW(X28:X31)),1),0)&amp;"/"&amp;INDEX(A1:A31,SMALL(IF(EXACT(AA31,X28:X31),ROW(X28:X31)),2),0),INDEX(U28:U31,MATCH(AA31,X28:X31,0))))</f>
        <v/>
      </c>
      <c r="AA31" s="146">
        <f>LARGE(X28:X31,4)</f>
        <v>0</v>
      </c>
      <c r="AB31" s="68"/>
      <c r="AC31" s="72"/>
      <c r="AD31" s="72"/>
      <c r="AE31" s="72"/>
      <c r="AF31" s="72"/>
      <c r="AG31" s="58"/>
      <c r="AH31" s="85"/>
      <c r="AI31" s="158"/>
      <c r="AN31" s="107" t="str">
        <f>IF(COUNT(G44:I49)&lt;12,"1 van F",Z44)</f>
        <v>1 van F</v>
      </c>
      <c r="AO31" s="108">
        <v>0</v>
      </c>
      <c r="AP31" s="109"/>
      <c r="AQ31" s="163"/>
      <c r="AR31" s="164"/>
      <c r="AT31" s="62"/>
      <c r="AU31" s="63"/>
      <c r="AV31" s="131"/>
      <c r="AW31" s="62"/>
      <c r="AX31" s="124" t="s">
        <v>38</v>
      </c>
      <c r="AY31" s="98"/>
      <c r="AZ31" s="209" t="s">
        <v>55</v>
      </c>
      <c r="BA31" s="208"/>
      <c r="BB31" s="62"/>
      <c r="BC31" s="63"/>
      <c r="BD31" s="62"/>
      <c r="BE31" s="62"/>
      <c r="BF31" s="62"/>
      <c r="BG31" s="62"/>
      <c r="BH31" s="62"/>
    </row>
    <row r="32" spans="1:60" ht="15" customHeight="1" thickBot="1" x14ac:dyDescent="0.3">
      <c r="A32" s="67"/>
      <c r="B32" s="183">
        <v>44005</v>
      </c>
      <c r="C32" s="190" t="s">
        <v>70</v>
      </c>
      <c r="D32" s="75" t="str">
        <f>A29</f>
        <v>Kroatië</v>
      </c>
      <c r="E32" s="76" t="s">
        <v>13</v>
      </c>
      <c r="F32" s="77" t="str">
        <f>A30</f>
        <v>Play-off C</v>
      </c>
      <c r="G32" s="78"/>
      <c r="H32" s="78" t="s">
        <v>13</v>
      </c>
      <c r="I32" s="79"/>
      <c r="J32" s="8"/>
      <c r="K32" s="43"/>
      <c r="L32" s="43"/>
      <c r="M32" s="8"/>
      <c r="N32" s="8"/>
      <c r="O32" s="8"/>
      <c r="P32" s="40"/>
      <c r="Q32" s="41"/>
      <c r="R32" s="8"/>
      <c r="S32" s="42"/>
      <c r="T32" s="39"/>
      <c r="U32" s="165"/>
      <c r="V32" s="85"/>
      <c r="X32" s="68"/>
      <c r="Y32" s="122"/>
      <c r="Z32" s="8"/>
      <c r="AA32" s="150"/>
      <c r="AB32" s="68"/>
      <c r="AC32" s="72"/>
      <c r="AD32" s="72"/>
      <c r="AE32" s="72"/>
      <c r="AF32" s="72"/>
      <c r="AG32" s="58"/>
      <c r="AH32" s="85"/>
      <c r="AI32" s="158"/>
      <c r="AN32" s="107" t="str">
        <f>IF(COUNT(G44:I49)&lt;12,"beste nummer 3 A/B/C",AL22)</f>
        <v>beste nummer 3 A/B/C</v>
      </c>
      <c r="AO32" s="117">
        <v>1</v>
      </c>
      <c r="AP32" s="63"/>
      <c r="AQ32" s="63"/>
      <c r="AR32" s="63"/>
      <c r="AU32" s="63"/>
      <c r="AV32" s="131"/>
      <c r="AW32" s="161"/>
      <c r="AX32" s="107" t="str">
        <f>IF(AU27&gt;AU28,AT27,IF(AU28&gt;AU27,AT28,"winnaar 47"))</f>
        <v>1 van C</v>
      </c>
      <c r="AY32" s="144">
        <v>2</v>
      </c>
      <c r="AZ32" s="166"/>
      <c r="BA32" s="62"/>
      <c r="BB32" s="62"/>
      <c r="BC32" s="63"/>
      <c r="BD32" s="62"/>
      <c r="BE32" s="62"/>
      <c r="BF32" s="62"/>
      <c r="BG32" s="62"/>
      <c r="BH32" s="62"/>
    </row>
    <row r="33" spans="1:60" ht="15" customHeight="1" x14ac:dyDescent="0.25">
      <c r="B33" s="184">
        <v>44005</v>
      </c>
      <c r="C33" s="191" t="s">
        <v>38</v>
      </c>
      <c r="D33" s="125" t="str">
        <f>A31</f>
        <v>Tsjechië</v>
      </c>
      <c r="E33" s="126" t="s">
        <v>13</v>
      </c>
      <c r="F33" s="127" t="str">
        <f>A28</f>
        <v>Engeland</v>
      </c>
      <c r="G33" s="78"/>
      <c r="H33" s="78" t="s">
        <v>13</v>
      </c>
      <c r="I33" s="79"/>
      <c r="J33" s="8"/>
      <c r="K33" s="43"/>
      <c r="L33" s="43"/>
      <c r="M33" s="8"/>
      <c r="N33" s="8"/>
      <c r="O33" s="8"/>
      <c r="P33" s="40"/>
      <c r="Q33" s="41"/>
      <c r="R33" s="8"/>
      <c r="S33" s="42"/>
      <c r="T33" s="39"/>
      <c r="U33" s="165"/>
      <c r="V33" s="85"/>
      <c r="X33" s="68"/>
      <c r="Y33" s="122"/>
      <c r="Z33" s="8"/>
      <c r="AA33" s="150"/>
      <c r="AB33" s="68"/>
      <c r="AC33" s="72"/>
      <c r="AD33" s="72"/>
      <c r="AE33" s="72"/>
      <c r="AF33" s="72"/>
      <c r="AG33" s="58"/>
      <c r="AH33" s="85"/>
      <c r="AI33" s="158"/>
      <c r="AN33" s="62"/>
      <c r="AO33" s="63"/>
      <c r="AP33" s="119"/>
      <c r="AQ33" s="119"/>
      <c r="AR33" s="119"/>
      <c r="AS33" s="63"/>
      <c r="AT33" s="62"/>
      <c r="AU33" s="147"/>
      <c r="AV33" s="131"/>
      <c r="AW33" s="62"/>
      <c r="AX33" s="107" t="str">
        <f>IF(AU36&gt;AU37,AT36,IF(AU37&gt;AU36,AT37,"winnaar 48"))</f>
        <v>2 van F</v>
      </c>
      <c r="AY33" s="148">
        <v>1</v>
      </c>
      <c r="AZ33" s="145"/>
      <c r="BA33" s="62"/>
      <c r="BB33" s="62"/>
      <c r="BC33" s="63"/>
      <c r="BD33" s="62"/>
      <c r="BE33" s="62"/>
      <c r="BF33" s="62"/>
      <c r="BG33" s="62"/>
      <c r="BH33" s="62"/>
    </row>
    <row r="34" spans="1:60" ht="15" customHeight="1" x14ac:dyDescent="0.25">
      <c r="A34" s="67"/>
      <c r="J34" s="8"/>
      <c r="K34" s="43"/>
      <c r="L34" s="43"/>
      <c r="M34" s="8"/>
      <c r="N34" s="8"/>
      <c r="O34" s="8"/>
      <c r="P34" s="40"/>
      <c r="Q34" s="41"/>
      <c r="R34" s="8"/>
      <c r="S34" s="42"/>
      <c r="T34" s="39"/>
      <c r="U34" s="165"/>
      <c r="V34" s="62"/>
      <c r="X34" s="68"/>
      <c r="Y34" s="122"/>
      <c r="Z34" s="8"/>
      <c r="AA34" s="150"/>
      <c r="AB34" s="68"/>
      <c r="AC34" s="72"/>
      <c r="AD34" s="72"/>
      <c r="AE34" s="72"/>
      <c r="AF34" s="72"/>
      <c r="AG34" s="58"/>
      <c r="AH34" s="85"/>
      <c r="AI34" s="158"/>
      <c r="AN34" s="87">
        <v>44012.75</v>
      </c>
      <c r="AO34" s="88">
        <v>43</v>
      </c>
      <c r="AP34" s="119"/>
      <c r="AQ34" s="119"/>
      <c r="AR34" s="119"/>
      <c r="AT34" s="120">
        <v>44016.875</v>
      </c>
      <c r="AU34" s="88">
        <v>48</v>
      </c>
      <c r="AV34" s="131"/>
      <c r="AW34" s="62"/>
      <c r="AX34" s="62"/>
      <c r="AY34" s="63"/>
      <c r="AZ34" s="62"/>
      <c r="BA34" s="62"/>
      <c r="BB34" s="62"/>
      <c r="BC34" s="63"/>
      <c r="BD34" s="62"/>
      <c r="BE34" s="62"/>
      <c r="BF34" s="62"/>
      <c r="BG34" s="62"/>
      <c r="BH34" s="62"/>
    </row>
    <row r="35" spans="1:60" ht="15" customHeight="1" x14ac:dyDescent="0.25">
      <c r="A35" s="67"/>
      <c r="B35" s="181" t="s">
        <v>6</v>
      </c>
      <c r="C35" s="181" t="s">
        <v>7</v>
      </c>
      <c r="D35" s="224" t="s">
        <v>73</v>
      </c>
      <c r="E35" s="225"/>
      <c r="F35" s="225"/>
      <c r="G35" s="225"/>
      <c r="H35" s="225"/>
      <c r="I35" s="226"/>
      <c r="J35" s="177" t="s">
        <v>9</v>
      </c>
      <c r="K35" s="11" t="s">
        <v>10</v>
      </c>
      <c r="L35" s="11" t="s">
        <v>11</v>
      </c>
      <c r="M35" s="10" t="s">
        <v>12</v>
      </c>
      <c r="N35" s="11"/>
      <c r="O35" s="12" t="s">
        <v>13</v>
      </c>
      <c r="P35" s="13" t="s">
        <v>14</v>
      </c>
      <c r="Q35" s="14" t="s">
        <v>15</v>
      </c>
      <c r="R35" s="15" t="s">
        <v>16</v>
      </c>
      <c r="S35" s="16" t="s">
        <v>17</v>
      </c>
      <c r="T35" s="44" t="s">
        <v>16</v>
      </c>
      <c r="U35" s="63" t="str">
        <f>IF(AND(COUNT(G36:I41)=12,OR(T36=T37,T36=T38,T36=T39,T37=T38,T37=T39,T38=T39)),"loten:","")</f>
        <v/>
      </c>
      <c r="V35" s="63"/>
      <c r="X35" s="68"/>
      <c r="Y35" s="69"/>
      <c r="Z35" s="9" t="s">
        <v>73</v>
      </c>
      <c r="AA35" s="71" t="s">
        <v>16</v>
      </c>
      <c r="AB35" s="68"/>
      <c r="AC35" s="72"/>
      <c r="AD35" s="72"/>
      <c r="AE35" s="72"/>
      <c r="AF35" s="72"/>
      <c r="AG35" s="58"/>
      <c r="AH35" s="85"/>
      <c r="AI35" s="158"/>
      <c r="AN35" s="97" t="s">
        <v>74</v>
      </c>
      <c r="AO35" s="98"/>
      <c r="AP35" s="63"/>
      <c r="AQ35" s="63"/>
      <c r="AR35" s="63"/>
      <c r="AS35" s="119"/>
      <c r="AT35" s="124" t="s">
        <v>19</v>
      </c>
      <c r="AU35" s="98"/>
      <c r="AV35" s="210" t="s">
        <v>55</v>
      </c>
      <c r="AW35" s="208"/>
      <c r="AX35" s="62"/>
      <c r="AY35" s="63"/>
      <c r="AZ35" s="62"/>
      <c r="BA35" s="62"/>
      <c r="BB35" s="62"/>
      <c r="BC35" s="63"/>
      <c r="BD35" s="62"/>
      <c r="BE35" s="62"/>
      <c r="BF35" s="62"/>
      <c r="BG35" s="62"/>
      <c r="BH35" s="62"/>
    </row>
    <row r="36" spans="1:60" ht="15" customHeight="1" thickBot="1" x14ac:dyDescent="0.3">
      <c r="A36" s="74" t="s">
        <v>75</v>
      </c>
      <c r="B36" s="183">
        <v>43997</v>
      </c>
      <c r="C36" s="190" t="s">
        <v>74</v>
      </c>
      <c r="D36" s="167" t="str">
        <f>A36</f>
        <v>Polen</v>
      </c>
      <c r="E36" s="168" t="s">
        <v>13</v>
      </c>
      <c r="F36" s="169" t="str">
        <f>A37</f>
        <v>Play-off B</v>
      </c>
      <c r="G36" s="78"/>
      <c r="H36" s="78" t="s">
        <v>13</v>
      </c>
      <c r="I36" s="79"/>
      <c r="J36" s="13">
        <f>IF(G36="",0,1)+IF(I39="",0,1)+IF(I41="",0,1)</f>
        <v>0</v>
      </c>
      <c r="K36" s="13">
        <f>IF(G36="",0,IF(G36&gt;I36,1,0))+IF(I39="",0,IF(I39&gt;G39,1,0))+IF(I41="",0,IF(I41&gt;G41,1,0))</f>
        <v>0</v>
      </c>
      <c r="L36" s="13">
        <f>IF(G36="",0,IF(G36=I36,1,0))+IF(I39="",0,IF(I39=G39,1,0))+IF(I41="",0,IF(I41=G41,1,0))</f>
        <v>0</v>
      </c>
      <c r="M36" s="17">
        <f t="shared" ref="M36:M39" si="8">SUMIF(D:D,A36,G:G)+SUMIF(F:F,A36,I:I)</f>
        <v>0</v>
      </c>
      <c r="N36" s="13" t="s">
        <v>13</v>
      </c>
      <c r="O36" s="18">
        <f t="shared" ref="O36:O39" si="9">SUMIF(D:D,A36,I:I)+SUMIF(F:F,A36,G:G)</f>
        <v>0</v>
      </c>
      <c r="P36" s="17">
        <f>K36*3+L36</f>
        <v>0</v>
      </c>
      <c r="Q36" s="19">
        <f>M36-O36</f>
        <v>0</v>
      </c>
      <c r="R36" s="20">
        <f>P36+Q36/10^2+M36/10^4</f>
        <v>0</v>
      </c>
      <c r="S36" s="21">
        <f>IF(R36=R37,G36-I36+(Q36-Q37)/10^2+(M36-M37)/10^4,0)+IF(R36=R38,I39-G39+(Q36-Q38)/10^2+(M36-M38)/10^4,0)+IF(R36=R39,I41-G41+(Q36-Q39)/10^2+(M36-M39)/10^4,0)</f>
        <v>0</v>
      </c>
      <c r="T36" s="22">
        <f>R36+S36/10^6</f>
        <v>0</v>
      </c>
      <c r="U36" s="80" t="str">
        <f>A36</f>
        <v>Polen</v>
      </c>
      <c r="V36" s="63"/>
      <c r="X36" s="81">
        <f>T36+V35/10^8</f>
        <v>0</v>
      </c>
      <c r="Y36" s="82">
        <v>1</v>
      </c>
      <c r="Z36" s="83" t="str">
        <f t="array" ref="Z36">IF(COUNT(G36:I41)&lt;4,"winnaar groep E",IF(COUNTIF(AA36:AA39,AA36)&gt;1,INDEX(A1:A39,SMALL(IF(EXACT(AA36,X36:X39),ROW(X36:X39)),1),0)&amp;"/"&amp;INDEX(A1:A39,SMALL(IF(EXACT(AA36,X36:X39),ROW(X36:X39)),2),0),INDEX(U36:U39,MATCH(AA36,X36:X39,0))))</f>
        <v>winnaar groep E</v>
      </c>
      <c r="AA36" s="84">
        <f>LARGE(X36:X39,1)</f>
        <v>0</v>
      </c>
      <c r="AB36" s="68"/>
      <c r="AC36" s="72"/>
      <c r="AD36" s="72"/>
      <c r="AE36" s="72"/>
      <c r="AF36" s="72"/>
      <c r="AG36" s="58"/>
      <c r="AH36" s="85"/>
      <c r="AI36" s="158"/>
      <c r="AN36" s="107" t="str">
        <f>IF(COUNT(G28:I33)&lt;12,"1 van D",Z28)</f>
        <v>1 van D</v>
      </c>
      <c r="AO36" s="108">
        <v>1</v>
      </c>
      <c r="AP36" s="128"/>
      <c r="AQ36" s="109"/>
      <c r="AR36" s="109"/>
      <c r="AS36" s="163"/>
      <c r="AT36" s="107" t="str">
        <f>IF(AO36&gt;AO37,AN36,IF(AO37&gt;AO36,AN37,"winnaar 43"))</f>
        <v>2 van F</v>
      </c>
      <c r="AU36" s="108">
        <v>2</v>
      </c>
      <c r="AV36" s="133"/>
      <c r="AW36" s="63"/>
      <c r="AX36" s="62"/>
      <c r="AY36" s="63"/>
      <c r="AZ36" s="62"/>
      <c r="BA36" s="62"/>
      <c r="BB36" s="62"/>
      <c r="BC36" s="63"/>
      <c r="BD36" s="62"/>
      <c r="BE36" s="62"/>
      <c r="BF36" s="62"/>
      <c r="BG36" s="62"/>
      <c r="BH36" s="62"/>
    </row>
    <row r="37" spans="1:60" ht="15" customHeight="1" x14ac:dyDescent="0.25">
      <c r="A37" s="89" t="s">
        <v>76</v>
      </c>
      <c r="B37" s="183">
        <v>43997</v>
      </c>
      <c r="C37" s="190" t="s">
        <v>62</v>
      </c>
      <c r="D37" s="75" t="str">
        <f>A38</f>
        <v>Spanje</v>
      </c>
      <c r="E37" s="76" t="s">
        <v>13</v>
      </c>
      <c r="F37" s="77" t="str">
        <f>A39</f>
        <v>Zweden</v>
      </c>
      <c r="G37" s="78"/>
      <c r="H37" s="78" t="s">
        <v>13</v>
      </c>
      <c r="I37" s="79"/>
      <c r="J37" s="178">
        <f>IF(I36="",0,1)+IF(I38="",0,1)+IF(G40="",0,1)</f>
        <v>0</v>
      </c>
      <c r="K37" s="24">
        <f>IF(I36="",0,IF(I36&gt;G36,1,0))+IF(I38="",0,IF(I38&gt;G38,1,0))+IF(G40="",0,IF(G40&gt;I40,1,0))</f>
        <v>0</v>
      </c>
      <c r="L37" s="24">
        <f>IF(I36="",0,IF(I36=G36,1,0))+IF(I38="",0,IF(G38=I38,1,0))+IF(I40="",0,IF(G40=I40,1,0))</f>
        <v>0</v>
      </c>
      <c r="M37" s="23">
        <f t="shared" si="8"/>
        <v>0</v>
      </c>
      <c r="N37" s="24" t="s">
        <v>13</v>
      </c>
      <c r="O37" s="25">
        <f t="shared" si="9"/>
        <v>0</v>
      </c>
      <c r="P37" s="23">
        <f>K37*3+L37</f>
        <v>0</v>
      </c>
      <c r="Q37" s="26">
        <f>M37-O37</f>
        <v>0</v>
      </c>
      <c r="R37" s="27">
        <f>P37+Q37/10^2+M37/10^4</f>
        <v>0</v>
      </c>
      <c r="S37" s="28">
        <f>IF(R37=R36,I36-G36+(Q37-Q36)/10^2+(M37-M36)/10^4,0)+IF(R37=R38,G40-I40+(Q37-Q38)/10^2+(M37-M38)/10^4,0)+IF(R37=R39,I38-G38+(Q37-Q39)/10^2+(M37-M39)/10^4,0)</f>
        <v>0</v>
      </c>
      <c r="T37" s="29">
        <f>R37+S37/10^6</f>
        <v>0</v>
      </c>
      <c r="U37" s="80" t="str">
        <f>A37</f>
        <v>Play-off B</v>
      </c>
      <c r="V37" s="63"/>
      <c r="X37" s="90">
        <f>T37+V36/10^8</f>
        <v>0</v>
      </c>
      <c r="Y37" s="91">
        <v>2</v>
      </c>
      <c r="Z37" s="92" t="str">
        <f t="array" ref="Z37">IF(COUNT(G36:I41)&lt;4,"tweede groep E",IF(COUNTIF(AA36:AA39,AA37)&gt;1,INDEX(A1:A39,SMALL(IF(EXACT(AA37,X36:X39),ROW(X36:X39)),1),0)&amp;"/"&amp;INDEX(A1:A39,SMALL(IF(EXACT(AA37,X36:X39),ROW(X36:X39)),2),0),INDEX(U36:U39,MATCH(AA37,X36:X39,0))))</f>
        <v>tweede groep E</v>
      </c>
      <c r="AA37" s="93">
        <f>LARGE(X36:X39,2)</f>
        <v>0</v>
      </c>
      <c r="AB37" s="68"/>
      <c r="AC37" s="72"/>
      <c r="AD37" s="72"/>
      <c r="AE37" s="72"/>
      <c r="AF37" s="72"/>
      <c r="AG37" s="58"/>
      <c r="AH37" s="85"/>
      <c r="AI37" s="158"/>
      <c r="AN37" s="107" t="str">
        <f>IF(COUNT(G44:I49)&lt;12,"2 van F",Z45)</f>
        <v>2 van F</v>
      </c>
      <c r="AO37" s="117">
        <v>2</v>
      </c>
      <c r="AP37" s="63"/>
      <c r="AQ37" s="62"/>
      <c r="AR37" s="131"/>
      <c r="AS37" s="119"/>
      <c r="AT37" s="107" t="str">
        <f>IF(AO41&gt;AO42,AN41,IF(AO42&gt;AO41,AN42,"winnaar 44"))</f>
        <v>beste nummer 3 A/B/C/D</v>
      </c>
      <c r="AU37" s="117">
        <v>1</v>
      </c>
      <c r="AV37" s="63"/>
      <c r="AW37" s="63"/>
      <c r="AX37" s="62"/>
      <c r="AY37" s="63"/>
      <c r="AZ37" s="62"/>
      <c r="BA37" s="62"/>
      <c r="BB37" s="62"/>
      <c r="BC37" s="63"/>
      <c r="BD37" s="62"/>
      <c r="BE37" s="62"/>
      <c r="BF37" s="62"/>
      <c r="BG37" s="62"/>
      <c r="BH37" s="62"/>
    </row>
    <row r="38" spans="1:60" ht="15" customHeight="1" x14ac:dyDescent="0.25">
      <c r="A38" s="89" t="s">
        <v>77</v>
      </c>
      <c r="B38" s="183">
        <v>44001</v>
      </c>
      <c r="C38" s="190" t="s">
        <v>74</v>
      </c>
      <c r="D38" s="75" t="str">
        <f>A39</f>
        <v>Zweden</v>
      </c>
      <c r="E38" s="76" t="s">
        <v>13</v>
      </c>
      <c r="F38" s="77" t="str">
        <f>A37</f>
        <v>Play-off B</v>
      </c>
      <c r="G38" s="78"/>
      <c r="H38" s="78" t="s">
        <v>13</v>
      </c>
      <c r="I38" s="79"/>
      <c r="J38" s="178">
        <f>IF(G37="",0,1)+IF(G39="",0,1)+IF(I40="",0,1)</f>
        <v>0</v>
      </c>
      <c r="K38" s="24">
        <f>IF(G37="",0,IF(G37&gt;I37,1,0))+IF(G39="",0,IF(G39&gt;I39,1,0))+IF(I40="",0,IF(I40&gt;G40,1,0))</f>
        <v>0</v>
      </c>
      <c r="L38" s="24">
        <f>IF(I37="",0,IF(G37=I37,1,0))+IF(I39="",0,IF(I39=G39,1,0))+IF(I40="",0,IF(I40=G40,1,0))</f>
        <v>0</v>
      </c>
      <c r="M38" s="23">
        <f t="shared" si="8"/>
        <v>0</v>
      </c>
      <c r="N38" s="24" t="s">
        <v>13</v>
      </c>
      <c r="O38" s="25">
        <f t="shared" si="9"/>
        <v>0</v>
      </c>
      <c r="P38" s="23">
        <f>K38*3+L38</f>
        <v>0</v>
      </c>
      <c r="Q38" s="26">
        <f>M38-O38</f>
        <v>0</v>
      </c>
      <c r="R38" s="27">
        <f>P38+Q38/10^2+M38/10^4</f>
        <v>0</v>
      </c>
      <c r="S38" s="28">
        <f>IF(R38=R36,G39-I39+(Q38-Q36)/10^2+(M38-M36)/10^4,0)+IF(R38=R37,I40-G40+(Q38-Q37)/10^2+(M38-M37)/10^4,0)+IF(R38=R39,G37-I37+(Q38-Q39)/10^2+(M38-M39)/10^4,0)</f>
        <v>0</v>
      </c>
      <c r="T38" s="29">
        <f>R38+S38/10^6</f>
        <v>0</v>
      </c>
      <c r="U38" s="80" t="str">
        <f>A38</f>
        <v>Spanje</v>
      </c>
      <c r="V38" s="63"/>
      <c r="X38" s="90">
        <f>T38+V37/10^8</f>
        <v>0</v>
      </c>
      <c r="Y38" s="139">
        <v>3</v>
      </c>
      <c r="Z38" s="6" t="str">
        <f t="array" ref="Z38">IF(COUNT(G36:I41)&lt;4,"derde groep E",IF(COUNTIF(AA36:AA39,AA38)&gt;1,INDEX(A1:A39,SMALL(IF(EXACT(AA38,X36:X39),ROW(X36:X39)),1),0)&amp;"/"&amp;INDEX(A1:A39,SMALL(IF(EXACT(AA38,X36:X39),ROW(X36:X39)),2),0),INDEX(U36:U39,MATCH(AA38,X36:X39,0))))</f>
        <v>derde groep E</v>
      </c>
      <c r="AA38" s="140">
        <f>LARGE(X36:X39,3)</f>
        <v>0</v>
      </c>
      <c r="AB38" s="101">
        <f>AA38</f>
        <v>0</v>
      </c>
      <c r="AC38" s="102" t="str">
        <f>IF(AND(COUNT(G$4:I$49)=72,COUNTIF(AB$6:AB$47,AB38)&gt;1,RANK(AB38,AB$6:AB$47)&lt;=4),Z38,"")</f>
        <v/>
      </c>
      <c r="AD38" s="102"/>
      <c r="AE38" s="122"/>
      <c r="AF38" s="122"/>
      <c r="AG38" s="103">
        <f>AB38+SUMIF(AE$7:AE$14,Z38,AF$7:AF$14)/10^10</f>
        <v>0</v>
      </c>
      <c r="AH38" s="85"/>
      <c r="AI38" s="158"/>
      <c r="AN38" s="62"/>
      <c r="AO38" s="63"/>
      <c r="AP38" s="119"/>
      <c r="AQ38" s="62"/>
      <c r="AR38" s="131"/>
      <c r="AS38" s="62"/>
      <c r="AT38" s="62"/>
      <c r="AU38" s="63"/>
      <c r="AV38" s="62"/>
      <c r="AW38" s="62"/>
      <c r="AX38" s="62"/>
      <c r="AY38" s="63"/>
      <c r="AZ38" s="62"/>
      <c r="BA38" s="62"/>
      <c r="BB38" s="62"/>
      <c r="BC38" s="63"/>
      <c r="BD38" s="62"/>
      <c r="BE38" s="62"/>
      <c r="BF38" s="62"/>
      <c r="BG38" s="62"/>
      <c r="BH38" s="62"/>
    </row>
    <row r="39" spans="1:60" ht="15" customHeight="1" x14ac:dyDescent="0.25">
      <c r="A39" s="110" t="s">
        <v>78</v>
      </c>
      <c r="B39" s="183">
        <v>44002</v>
      </c>
      <c r="C39" s="190" t="s">
        <v>62</v>
      </c>
      <c r="D39" s="75" t="str">
        <f>A38</f>
        <v>Spanje</v>
      </c>
      <c r="E39" s="76" t="s">
        <v>13</v>
      </c>
      <c r="F39" s="77" t="str">
        <f>A36</f>
        <v>Polen</v>
      </c>
      <c r="G39" s="78"/>
      <c r="H39" s="78" t="s">
        <v>13</v>
      </c>
      <c r="I39" s="79"/>
      <c r="J39" s="31">
        <f>IF(I37="",0,1)+IF(G38="",0,1)+IF(G41="",0,1)</f>
        <v>0</v>
      </c>
      <c r="K39" s="31">
        <f>IF(I37="",0,IF(I37&gt;G37,1,0))+IF(G38="",0,IF(G38&gt;I38,1,0))+IF(G41="",0,IF(G41&gt;I41,1,0))</f>
        <v>0</v>
      </c>
      <c r="L39" s="31">
        <f>IF(I37="",0,IF(I37=G37,1,0))+IF(I38="",0,IF(I38=G38,1,0))+IF(I41="",0,IF(G41=I41,1,0))</f>
        <v>0</v>
      </c>
      <c r="M39" s="30">
        <f t="shared" si="8"/>
        <v>0</v>
      </c>
      <c r="N39" s="31" t="s">
        <v>13</v>
      </c>
      <c r="O39" s="32">
        <f t="shared" si="9"/>
        <v>0</v>
      </c>
      <c r="P39" s="30">
        <f>K39*3+L39</f>
        <v>0</v>
      </c>
      <c r="Q39" s="33">
        <f>M39-O39</f>
        <v>0</v>
      </c>
      <c r="R39" s="34">
        <f>P39+Q39/10^2+M39/10^4</f>
        <v>0</v>
      </c>
      <c r="S39" s="35">
        <f>IF(R39=R36,G41-I41+(Q39-Q36)/10^2+(M39-M36)/10^4,0)+IF(R39=R37,G38-I38+(Q39-Q37)/10^2+(M39-M37)/10^4,0)+IF(R39=R38,I37-G37+(Q39-Q38)/10^2+(M39-M38)/10^4,0)</f>
        <v>0</v>
      </c>
      <c r="T39" s="36">
        <f>R39+S39/10^6</f>
        <v>0</v>
      </c>
      <c r="U39" s="80" t="str">
        <f>A39</f>
        <v>Zweden</v>
      </c>
      <c r="V39" s="85"/>
      <c r="X39" s="111">
        <f>T39+V38/10^8</f>
        <v>0</v>
      </c>
      <c r="Y39" s="112">
        <v>4</v>
      </c>
      <c r="Z39" s="7" t="str">
        <f t="array" ref="Z39">IF(COUNT(G36:I41)&lt;4,"",IF(COUNTIF(AA36:AA39,AA39)&gt;1,INDEX(A1:A39,SMALL(IF(EXACT(AA39,X36:X39),ROW(X36:X39)),1),0)&amp;"/"&amp;INDEX(A1:A39,SMALL(IF(EXACT(AA39,X36:X39),ROW(X36:X39)),2),0),INDEX(U36:U39,MATCH(AA39,X36:X39,0))))</f>
        <v/>
      </c>
      <c r="AA39" s="146">
        <f>LARGE(X36:X39,4)</f>
        <v>0</v>
      </c>
      <c r="AB39" s="68"/>
      <c r="AC39" s="72"/>
      <c r="AD39" s="72"/>
      <c r="AE39" s="72"/>
      <c r="AF39" s="72"/>
      <c r="AG39" s="58"/>
      <c r="AH39" s="85"/>
      <c r="AI39" s="158"/>
      <c r="AN39" s="87">
        <v>44012.875</v>
      </c>
      <c r="AO39" s="88">
        <v>44</v>
      </c>
      <c r="AP39" s="62"/>
      <c r="AQ39" s="63"/>
      <c r="AR39" s="129"/>
      <c r="AS39" s="63"/>
      <c r="AT39" s="62"/>
      <c r="AU39" s="63"/>
      <c r="AV39" s="62"/>
      <c r="AW39" s="62"/>
      <c r="AX39" s="62"/>
      <c r="AY39" s="63"/>
      <c r="AZ39" s="62"/>
      <c r="BA39" s="62"/>
      <c r="BB39" s="62"/>
      <c r="BC39" s="63"/>
      <c r="BD39" s="62"/>
      <c r="BE39" s="62"/>
      <c r="BF39" s="62"/>
      <c r="BG39" s="62"/>
      <c r="BH39" s="62"/>
    </row>
    <row r="40" spans="1:60" ht="15" customHeight="1" x14ac:dyDescent="0.25">
      <c r="A40" s="67"/>
      <c r="B40" s="183">
        <v>44006</v>
      </c>
      <c r="C40" s="190" t="s">
        <v>62</v>
      </c>
      <c r="D40" s="75" t="str">
        <f>A37</f>
        <v>Play-off B</v>
      </c>
      <c r="E40" s="76" t="s">
        <v>13</v>
      </c>
      <c r="F40" s="77" t="str">
        <f>A38</f>
        <v>Spanje</v>
      </c>
      <c r="G40" s="78"/>
      <c r="H40" s="78" t="s">
        <v>13</v>
      </c>
      <c r="I40" s="79"/>
      <c r="J40" s="8"/>
      <c r="K40" s="8"/>
      <c r="L40" s="8"/>
      <c r="M40" s="8"/>
      <c r="N40" s="8"/>
      <c r="O40" s="8"/>
      <c r="P40" s="40"/>
      <c r="Q40" s="41"/>
      <c r="R40" s="8"/>
      <c r="S40" s="42"/>
      <c r="T40" s="39"/>
      <c r="U40" s="165"/>
      <c r="V40" s="85"/>
      <c r="X40" s="68"/>
      <c r="Y40" s="122"/>
      <c r="Z40" s="8"/>
      <c r="AA40" s="150"/>
      <c r="AB40" s="68"/>
      <c r="AC40" s="72"/>
      <c r="AD40" s="72"/>
      <c r="AE40" s="72"/>
      <c r="AF40" s="72"/>
      <c r="AG40" s="58"/>
      <c r="AN40" s="97" t="s">
        <v>70</v>
      </c>
      <c r="AO40" s="98"/>
      <c r="AP40" s="63"/>
      <c r="AQ40" s="182"/>
      <c r="AR40" s="210" t="s">
        <v>55</v>
      </c>
      <c r="AS40" s="210"/>
      <c r="AV40" s="62"/>
      <c r="AW40" s="62"/>
      <c r="AX40" s="62"/>
      <c r="AY40" s="63"/>
      <c r="AZ40" s="62"/>
      <c r="BA40" s="62"/>
      <c r="BB40" s="62"/>
      <c r="BC40" s="63"/>
      <c r="BD40" s="62"/>
      <c r="BE40" s="62"/>
      <c r="BF40" s="62"/>
      <c r="BG40" s="62"/>
      <c r="BH40" s="62"/>
    </row>
    <row r="41" spans="1:60" ht="15" customHeight="1" thickBot="1" x14ac:dyDescent="0.3">
      <c r="B41" s="184">
        <v>44006</v>
      </c>
      <c r="C41" s="191" t="s">
        <v>74</v>
      </c>
      <c r="D41" s="125" t="str">
        <f>A39</f>
        <v>Zweden</v>
      </c>
      <c r="E41" s="126" t="s">
        <v>13</v>
      </c>
      <c r="F41" s="127" t="str">
        <f>A36</f>
        <v>Polen</v>
      </c>
      <c r="G41" s="78"/>
      <c r="H41" s="78" t="s">
        <v>13</v>
      </c>
      <c r="I41" s="79"/>
      <c r="J41" s="8"/>
      <c r="K41" s="8"/>
      <c r="L41" s="8"/>
      <c r="M41" s="8"/>
      <c r="N41" s="8"/>
      <c r="O41" s="8"/>
      <c r="P41" s="40"/>
      <c r="Q41" s="41"/>
      <c r="R41" s="8"/>
      <c r="S41" s="42"/>
      <c r="T41" s="39"/>
      <c r="U41" s="165"/>
      <c r="V41" s="85"/>
      <c r="X41" s="68"/>
      <c r="Y41" s="122"/>
      <c r="Z41" s="8"/>
      <c r="AA41" s="150"/>
      <c r="AB41" s="68"/>
      <c r="AC41" s="72"/>
      <c r="AD41" s="72"/>
      <c r="AE41" s="72"/>
      <c r="AF41" s="72"/>
      <c r="AG41" s="58"/>
      <c r="AN41" s="107" t="str">
        <f>IF(COUNT(G36:I41)&lt;12,"1 van E",Z36)</f>
        <v>1 van E</v>
      </c>
      <c r="AO41" s="108">
        <v>2</v>
      </c>
      <c r="AP41" s="109"/>
      <c r="AQ41" s="143"/>
      <c r="AR41" s="170"/>
      <c r="AS41" s="62"/>
      <c r="AV41" s="62"/>
      <c r="AW41" s="62"/>
      <c r="AX41" s="62"/>
      <c r="AY41" s="63"/>
      <c r="AZ41" s="62"/>
      <c r="BA41" s="62"/>
      <c r="BB41" s="62"/>
      <c r="BC41" s="63"/>
      <c r="BD41" s="62"/>
      <c r="BE41" s="62"/>
      <c r="BF41" s="62"/>
      <c r="BG41" s="62"/>
      <c r="BH41" s="62"/>
    </row>
    <row r="42" spans="1:60" ht="15" customHeight="1" x14ac:dyDescent="0.25">
      <c r="A42" s="67"/>
      <c r="J42" s="8"/>
      <c r="K42" s="8"/>
      <c r="L42" s="8"/>
      <c r="M42" s="8"/>
      <c r="N42" s="8"/>
      <c r="O42" s="8"/>
      <c r="P42" s="40"/>
      <c r="Q42" s="41"/>
      <c r="R42" s="8"/>
      <c r="S42" s="42"/>
      <c r="T42" s="39"/>
      <c r="U42" s="165"/>
      <c r="V42" s="62"/>
      <c r="X42" s="68"/>
      <c r="Y42" s="122"/>
      <c r="Z42" s="8"/>
      <c r="AA42" s="150"/>
      <c r="AB42" s="68"/>
      <c r="AC42" s="72"/>
      <c r="AD42" s="72"/>
      <c r="AE42" s="72"/>
      <c r="AF42" s="72"/>
      <c r="AG42" s="58"/>
      <c r="AN42" s="107" t="str">
        <f>IF(COUNT(G44:I49)&lt;12,"beste nummer 3 A/B/C/D",AK22)</f>
        <v>beste nummer 3 A/B/C/D</v>
      </c>
      <c r="AO42" s="117">
        <v>3</v>
      </c>
      <c r="AP42" s="63"/>
      <c r="AQ42" s="63"/>
      <c r="AR42" s="63"/>
      <c r="AS42" s="62"/>
      <c r="AV42" s="62"/>
      <c r="AW42" s="62"/>
      <c r="AX42" s="62"/>
      <c r="AY42" s="63"/>
      <c r="AZ42" s="62"/>
      <c r="BA42" s="62"/>
      <c r="BB42" s="62"/>
      <c r="BC42" s="63"/>
      <c r="BD42" s="62"/>
      <c r="BE42" s="62"/>
      <c r="BF42" s="62"/>
      <c r="BG42" s="62"/>
      <c r="BH42" s="62"/>
    </row>
    <row r="43" spans="1:60" ht="15" customHeight="1" x14ac:dyDescent="0.25">
      <c r="A43" s="67"/>
      <c r="B43" s="181" t="s">
        <v>6</v>
      </c>
      <c r="C43" s="181" t="s">
        <v>7</v>
      </c>
      <c r="D43" s="224" t="s">
        <v>79</v>
      </c>
      <c r="E43" s="225"/>
      <c r="F43" s="225"/>
      <c r="G43" s="225"/>
      <c r="H43" s="225"/>
      <c r="I43" s="226"/>
      <c r="J43" s="177" t="s">
        <v>9</v>
      </c>
      <c r="K43" s="11" t="s">
        <v>10</v>
      </c>
      <c r="L43" s="11" t="s">
        <v>11</v>
      </c>
      <c r="M43" s="10" t="s">
        <v>12</v>
      </c>
      <c r="N43" s="11"/>
      <c r="O43" s="12" t="s">
        <v>13</v>
      </c>
      <c r="P43" s="13" t="s">
        <v>14</v>
      </c>
      <c r="Q43" s="14" t="s">
        <v>15</v>
      </c>
      <c r="R43" s="15" t="s">
        <v>16</v>
      </c>
      <c r="S43" s="16" t="s">
        <v>17</v>
      </c>
      <c r="T43" s="44" t="s">
        <v>16</v>
      </c>
      <c r="U43" s="63" t="str">
        <f>IF(AND(COUNT(G44:I49)=12,OR(T44=T45,T44=T46,T44=T47,T45=T46,T45=T47,T46=T47)),"loten:","")</f>
        <v/>
      </c>
      <c r="V43" s="63"/>
      <c r="X43" s="68"/>
      <c r="Y43" s="132"/>
      <c r="Z43" s="5" t="s">
        <v>80</v>
      </c>
      <c r="AA43" s="71" t="s">
        <v>16</v>
      </c>
      <c r="AB43" s="68"/>
      <c r="AC43" s="72"/>
      <c r="AD43" s="72"/>
      <c r="AE43" s="72"/>
      <c r="AF43" s="72"/>
      <c r="AG43" s="58"/>
      <c r="AN43" s="62"/>
      <c r="AO43" s="63"/>
      <c r="AP43" s="62"/>
      <c r="AQ43" s="62"/>
      <c r="AR43" s="62"/>
      <c r="AS43" s="62"/>
      <c r="AV43" s="62"/>
      <c r="AW43" s="62"/>
      <c r="AX43" s="62"/>
      <c r="AY43" s="63"/>
      <c r="AZ43" s="62"/>
      <c r="BA43" s="62"/>
      <c r="BB43" s="62"/>
      <c r="BC43" s="63"/>
      <c r="BD43" s="62"/>
      <c r="BE43" s="62"/>
      <c r="BF43" s="62"/>
      <c r="BG43" s="62"/>
      <c r="BH43" s="62"/>
    </row>
    <row r="44" spans="1:60" ht="15" customHeight="1" x14ac:dyDescent="0.25">
      <c r="A44" s="74" t="s">
        <v>81</v>
      </c>
      <c r="B44" s="183">
        <v>43998</v>
      </c>
      <c r="C44" s="190" t="s">
        <v>51</v>
      </c>
      <c r="D44" s="167" t="str">
        <f>A44</f>
        <v>Play-off A</v>
      </c>
      <c r="E44" s="168" t="s">
        <v>13</v>
      </c>
      <c r="F44" s="169" t="str">
        <f>A45</f>
        <v>Portugal</v>
      </c>
      <c r="G44" s="78"/>
      <c r="H44" s="78" t="s">
        <v>13</v>
      </c>
      <c r="I44" s="79"/>
      <c r="J44" s="13">
        <f>IF(G44="",0,1)+IF(G46="",0,1)+IF(I49="",0,1)</f>
        <v>0</v>
      </c>
      <c r="K44" s="13">
        <f>IF(G44="",0,IF(G44&gt;I44,1,0))+IF(G46="",0,IF(G46&gt;I46,1,0))+IF(I49="",0,IF(I49&gt;G49,1,0))</f>
        <v>0</v>
      </c>
      <c r="L44" s="13">
        <f>IF(G44="",0,IF(G44=I44,1,0))+IF(G46="",0,IF(G46=I46,1,0))+IF(I49="",0,IF(I49=G49,1,0))</f>
        <v>0</v>
      </c>
      <c r="M44" s="17">
        <f t="shared" ref="M44:M47" si="10">SUMIF(D:D,A44,G:G)+SUMIF(F:F,A44,I:I)</f>
        <v>0</v>
      </c>
      <c r="N44" s="13" t="s">
        <v>13</v>
      </c>
      <c r="O44" s="18">
        <f t="shared" ref="O44:O47" si="11">SUMIF(D:D,A44,I:I)+SUMIF(F:F,A44,G:G)</f>
        <v>0</v>
      </c>
      <c r="P44" s="17">
        <f>K44*3+L44</f>
        <v>0</v>
      </c>
      <c r="Q44" s="19">
        <f>M44-O44</f>
        <v>0</v>
      </c>
      <c r="R44" s="20">
        <f>P44+Q44/10^2+M44/10^4</f>
        <v>0</v>
      </c>
      <c r="S44" s="21">
        <f>IF(R44=R45,G44-I44+(Q44-Q45)/10^2+(M44-M45)/10^4,0)+IF(R44=R46,G46-I46+(Q44-Q46)/10^2+(M44-M46)/10^4,0)+IF(R44=R47,I49-G49+(Q44-Q47)/10^2+(M44-M47)/10^4,0)</f>
        <v>0</v>
      </c>
      <c r="T44" s="22">
        <f>R44+S44/10^6</f>
        <v>0</v>
      </c>
      <c r="U44" s="80" t="str">
        <f>A44</f>
        <v>Play-off A</v>
      </c>
      <c r="V44" s="63"/>
      <c r="X44" s="81">
        <f>T44+V43/10^8</f>
        <v>0</v>
      </c>
      <c r="Y44" s="82">
        <v>1</v>
      </c>
      <c r="Z44" s="83" t="str">
        <f t="array" ref="Z44">IF(COUNT(G44:I49)&lt;4,"winnaar groep F",IF(COUNTIF(AA44:AA47,AA44)&gt;1,INDEX(A1:A47,SMALL(IF(EXACT(AA44,X44:X47),ROW(X44:X47)),1),0)&amp;"/"&amp;INDEX(A1:A47,SMALL(IF(EXACT(AA44,X44:X47),ROW(X44:X47)),2),0),INDEX(U44:U47,MATCH(AA44,X44:X47,0))))</f>
        <v>winnaar groep F</v>
      </c>
      <c r="AA44" s="84">
        <f>LARGE(X44:X47,1)</f>
        <v>0</v>
      </c>
      <c r="AB44" s="68"/>
      <c r="AC44" s="72"/>
      <c r="AD44" s="72"/>
      <c r="AE44" s="72"/>
      <c r="AF44" s="72"/>
      <c r="AG44" s="58"/>
      <c r="AH44" s="85"/>
      <c r="AI44" s="122"/>
      <c r="AN44" s="62"/>
      <c r="AO44" s="63"/>
      <c r="AP44" s="62"/>
      <c r="AQ44" s="62"/>
      <c r="AR44" s="62"/>
      <c r="AS44" s="62"/>
      <c r="AV44" s="62"/>
      <c r="AW44" s="62"/>
      <c r="AX44" s="62"/>
      <c r="AY44" s="63"/>
      <c r="AZ44" s="62"/>
      <c r="BA44" s="62"/>
      <c r="BB44" s="62"/>
      <c r="BC44" s="63"/>
      <c r="BD44" s="62"/>
      <c r="BE44" s="62"/>
      <c r="BF44" s="62"/>
      <c r="BG44" s="62"/>
      <c r="BH44" s="62"/>
    </row>
    <row r="45" spans="1:60" ht="15" customHeight="1" x14ac:dyDescent="0.25">
      <c r="A45" s="89" t="s">
        <v>82</v>
      </c>
      <c r="B45" s="183">
        <v>43998</v>
      </c>
      <c r="C45" s="190" t="s">
        <v>54</v>
      </c>
      <c r="D45" s="75" t="str">
        <f>A46</f>
        <v>Frankrijk</v>
      </c>
      <c r="E45" s="76" t="s">
        <v>13</v>
      </c>
      <c r="F45" s="77" t="str">
        <f>A47</f>
        <v>Duitsland</v>
      </c>
      <c r="G45" s="78"/>
      <c r="H45" s="78" t="s">
        <v>13</v>
      </c>
      <c r="I45" s="79"/>
      <c r="J45" s="178">
        <f>IF(I44="",0,1)+IF(G47="",0,1)+IF(G48="",0,1)</f>
        <v>0</v>
      </c>
      <c r="K45" s="24">
        <f>IF(I44="",0,IF(I44&gt;G44,1,0))+IF(G47="",0,IF(G47&gt;I47,1,0))+IF(G48="",0,IF(G48&gt;I48,1,0))</f>
        <v>0</v>
      </c>
      <c r="L45" s="24">
        <f>IF(I44="",0,IF(I44=G44,1,0))+IF(G47="",0,IF(I47=G47,1,0))+IF(I48="",0,IF(G48=I48,1,0))</f>
        <v>0</v>
      </c>
      <c r="M45" s="23">
        <f t="shared" si="10"/>
        <v>0</v>
      </c>
      <c r="N45" s="24" t="s">
        <v>13</v>
      </c>
      <c r="O45" s="25">
        <f t="shared" si="11"/>
        <v>0</v>
      </c>
      <c r="P45" s="23">
        <f>K45*3+L45</f>
        <v>0</v>
      </c>
      <c r="Q45" s="26">
        <f>M45-O45</f>
        <v>0</v>
      </c>
      <c r="R45" s="27">
        <f>P45+Q45/10^2+M45/10^4</f>
        <v>0</v>
      </c>
      <c r="S45" s="28">
        <f>IF(R45=R44,I44-G44+(Q45-Q44)/10^2+(M45-M44)/10^4,0)+IF(R45=R46,G48-I48+(Q45-Q46)/10^2+(M45-M46)/10^4,0)+IF(R45=R47,G47-I47+(Q45-Q47)/10^2+(M45-M47)/10^4,0)</f>
        <v>0</v>
      </c>
      <c r="T45" s="29">
        <f>R45+S45/10^6</f>
        <v>0</v>
      </c>
      <c r="U45" s="80" t="str">
        <f>A45</f>
        <v>Portugal</v>
      </c>
      <c r="V45" s="63"/>
      <c r="X45" s="90">
        <f>T45+V44/10^8</f>
        <v>0</v>
      </c>
      <c r="Y45" s="91">
        <v>2</v>
      </c>
      <c r="Z45" s="92" t="str">
        <f t="array" ref="Z45">IF(COUNT(G44:I49)&lt;4,"tweede groep F",IF(COUNTIF(AA44:AA47,AA45)&gt;1,INDEX(A1:A47,SMALL(IF(EXACT(AA45,X44:X47),ROW(X44:X47)),1),0)&amp;"/"&amp;INDEX(A1:A47,SMALL(IF(EXACT(AA45,X44:X47),ROW(X44:X47)),2),0),INDEX(U44:U47,MATCH(AA45,X44:X47,0))))</f>
        <v>tweede groep F</v>
      </c>
      <c r="AA45" s="93">
        <f>LARGE(X44:X47,2)</f>
        <v>0</v>
      </c>
      <c r="AB45" s="68"/>
      <c r="AC45" s="72"/>
      <c r="AD45" s="72"/>
      <c r="AE45" s="72"/>
      <c r="AF45" s="72"/>
      <c r="AG45" s="58"/>
      <c r="AH45" s="85"/>
      <c r="AI45" s="122"/>
      <c r="AN45" s="62"/>
      <c r="AO45" s="63"/>
      <c r="AP45" s="62"/>
      <c r="AQ45" s="62"/>
      <c r="AR45" s="62"/>
      <c r="AS45" s="62"/>
      <c r="AT45" s="62"/>
      <c r="AU45" s="63"/>
      <c r="AV45" s="62"/>
      <c r="AW45" s="62"/>
      <c r="AX45" s="62"/>
      <c r="AY45" s="63"/>
      <c r="AZ45" s="62"/>
      <c r="BA45" s="62"/>
      <c r="BB45" s="62"/>
      <c r="BC45" s="63"/>
      <c r="BD45" s="62"/>
      <c r="BE45" s="62"/>
      <c r="BF45" s="62"/>
      <c r="BG45" s="62"/>
      <c r="BH45" s="62"/>
    </row>
    <row r="46" spans="1:60" ht="15" customHeight="1" x14ac:dyDescent="0.25">
      <c r="A46" s="89" t="s">
        <v>83</v>
      </c>
      <c r="B46" s="183">
        <v>44002</v>
      </c>
      <c r="C46" s="190" t="s">
        <v>51</v>
      </c>
      <c r="D46" s="75" t="str">
        <f>A44</f>
        <v>Play-off A</v>
      </c>
      <c r="E46" s="76" t="s">
        <v>13</v>
      </c>
      <c r="F46" s="77" t="str">
        <f>A46</f>
        <v>Frankrijk</v>
      </c>
      <c r="G46" s="78"/>
      <c r="H46" s="78" t="s">
        <v>13</v>
      </c>
      <c r="I46" s="79"/>
      <c r="J46" s="178">
        <f>IF(G45="",0,1)+IF(I46="",0,1)+IF(I48="",0,1)</f>
        <v>0</v>
      </c>
      <c r="K46" s="24">
        <f>IF(G45="",0,IF(G45&gt;I45,1,0))+IF(I46="",0,IF(I46&gt;G46,1,0))+IF(I48="",0,IF(I48&gt;G48,1,0))</f>
        <v>0</v>
      </c>
      <c r="L46" s="24">
        <f>IF(I45="",0,IF(G45=I45,1,0))+IF(G46="",0,IF(G46=I46,1,0))+IF(I48="",0,IF(I48=G48,1,0))</f>
        <v>0</v>
      </c>
      <c r="M46" s="23">
        <f t="shared" si="10"/>
        <v>0</v>
      </c>
      <c r="N46" s="24" t="s">
        <v>13</v>
      </c>
      <c r="O46" s="25">
        <f t="shared" si="11"/>
        <v>0</v>
      </c>
      <c r="P46" s="23">
        <f>K46*3+L46</f>
        <v>0</v>
      </c>
      <c r="Q46" s="26">
        <f>M46-O46</f>
        <v>0</v>
      </c>
      <c r="R46" s="27">
        <f>P46+Q46/10^2+M46/10^4</f>
        <v>0</v>
      </c>
      <c r="S46" s="28">
        <f>IF(R46=R44,I46-G46+(Q46-Q44)/10^2+(M46-M44)/10^4,0)+IF(R46=R45,I48-G48+(Q46-Q45)/10^2+(M46-M45)/10^4,0)+IF(R46=R47,G45-I45+(Q46-Q47)/10^2+(M46-M47)/10^4,0)</f>
        <v>0</v>
      </c>
      <c r="T46" s="29">
        <f>R46+S46/10^6</f>
        <v>0</v>
      </c>
      <c r="U46" s="80" t="str">
        <f>A46</f>
        <v>Frankrijk</v>
      </c>
      <c r="V46" s="63"/>
      <c r="X46" s="90">
        <f>T46+V45/10^8</f>
        <v>0</v>
      </c>
      <c r="Y46" s="99">
        <v>3</v>
      </c>
      <c r="Z46" s="2" t="str">
        <f t="array" ref="Z46">IF(COUNT(G44:I49)&lt;4,"derde groep F",IF(COUNTIF(AA44:AA47,AA46)&gt;1,INDEX(A1:A47,SMALL(IF(EXACT(AA46,X44:X47),ROW(X44:X47)),1),0)&amp;"/"&amp;INDEX(A1:A47,SMALL(IF(EXACT(AA46,X44:X47),ROW(X44:X47)),2),0),INDEX(U44:U47,MATCH(AA46,X44:X47,0))))</f>
        <v>derde groep F</v>
      </c>
      <c r="AA46" s="140">
        <f>LARGE(X44:X47,3)</f>
        <v>0</v>
      </c>
      <c r="AB46" s="101">
        <f>AA46</f>
        <v>0</v>
      </c>
      <c r="AC46" s="102" t="str">
        <f>IF(AND(COUNT(G$4:I$49)=72,COUNTIF(AB$6:AB$47,AB46)&gt;1,RANK(AB46,AB$6:AB$47)&lt;=4),Z46,"")</f>
        <v/>
      </c>
      <c r="AD46" s="102"/>
      <c r="AE46" s="122"/>
      <c r="AF46" s="122"/>
      <c r="AG46" s="103">
        <f>AB46+SUMIF(AE$7:AE$14,Z46,AF$7:AF$14)/10^10</f>
        <v>0</v>
      </c>
      <c r="AH46" s="85"/>
      <c r="AI46" s="122"/>
      <c r="AN46" s="62"/>
      <c r="AO46" s="63"/>
      <c r="AP46" s="62"/>
      <c r="AQ46" s="62"/>
      <c r="AR46" s="62"/>
      <c r="AS46" s="62"/>
      <c r="AT46" s="62"/>
      <c r="AU46" s="63"/>
      <c r="AV46" s="62"/>
      <c r="AW46" s="62"/>
      <c r="AX46" s="62"/>
      <c r="AY46" s="63"/>
      <c r="AZ46" s="62"/>
      <c r="BA46" s="62"/>
      <c r="BB46" s="62"/>
      <c r="BC46" s="63"/>
      <c r="BD46" s="62"/>
      <c r="BE46" s="62"/>
      <c r="BF46" s="62"/>
      <c r="BG46" s="62"/>
      <c r="BH46" s="62"/>
    </row>
    <row r="47" spans="1:60" ht="15" customHeight="1" x14ac:dyDescent="0.25">
      <c r="A47" s="110" t="s">
        <v>84</v>
      </c>
      <c r="B47" s="183">
        <v>44002</v>
      </c>
      <c r="C47" s="190" t="s">
        <v>54</v>
      </c>
      <c r="D47" s="75" t="str">
        <f>A45</f>
        <v>Portugal</v>
      </c>
      <c r="E47" s="76" t="s">
        <v>13</v>
      </c>
      <c r="F47" s="77" t="str">
        <f>A47</f>
        <v>Duitsland</v>
      </c>
      <c r="G47" s="78"/>
      <c r="H47" s="78" t="s">
        <v>13</v>
      </c>
      <c r="I47" s="79"/>
      <c r="J47" s="31">
        <f>IF(I45="",0,1)+IF(I47="",0,1)+IF(G49="",0,1)</f>
        <v>0</v>
      </c>
      <c r="K47" s="31">
        <f>IF(I45="",0,IF(I45&gt;G45,1,0))+IF(I47="",0,IF(I47&gt;G47,1,0))+IF(G49="",0,IF(G49&gt;I49,1,0))</f>
        <v>0</v>
      </c>
      <c r="L47" s="31">
        <f>IF(I45="",0,IF(I45=G45,1,0))+IF(G47="",0,IF(G47=I47,1,0))+IF(I49="",0,IF(G49=I49,1,0))</f>
        <v>0</v>
      </c>
      <c r="M47" s="30">
        <f t="shared" si="10"/>
        <v>0</v>
      </c>
      <c r="N47" s="31" t="s">
        <v>13</v>
      </c>
      <c r="O47" s="32">
        <f t="shared" si="11"/>
        <v>0</v>
      </c>
      <c r="P47" s="30">
        <f>K47*3+L47</f>
        <v>0</v>
      </c>
      <c r="Q47" s="33">
        <f>M47-O47</f>
        <v>0</v>
      </c>
      <c r="R47" s="34">
        <f>P47+Q47/10^2+M47/10^4</f>
        <v>0</v>
      </c>
      <c r="S47" s="35">
        <f>IF(R47=R44,G49-I49+(Q47-Q44)/10^2+(M47-M44)/10^4,0)+IF(R47=R45,I47-G47+(Q47-Q45)/10^2+(M47-M45)/10^4,0)+IF(R47=R46,I45-G45+(Q47-Q46)/10^2+(M47-M46)/10^4,0)</f>
        <v>0</v>
      </c>
      <c r="T47" s="36">
        <f>R47+S47/10^6</f>
        <v>0</v>
      </c>
      <c r="U47" s="80" t="str">
        <f>A47</f>
        <v>Duitsland</v>
      </c>
      <c r="V47" s="85"/>
      <c r="X47" s="111">
        <f>T47+V46/10^8</f>
        <v>0</v>
      </c>
      <c r="Y47" s="112">
        <v>4</v>
      </c>
      <c r="Z47" s="3" t="str">
        <f t="array" ref="Z47">IF(COUNT(G44:I49)&lt;4,"",IF(COUNTIF(AA44:AA47,AA47)&gt;1,INDEX(A1:A47,SMALL(IF(EXACT(AA47,X44:X47),ROW(X44:X47)),1),0)&amp;"/"&amp;INDEX(A1:A47,SMALL(IF(EXACT(AA47,X44:X47),ROW(X44:X47)),2),0),INDEX(U44:U47,MATCH(AA47,X44:X47,0))))</f>
        <v/>
      </c>
      <c r="AA47" s="146">
        <f>LARGE(X44:X47,4)</f>
        <v>0</v>
      </c>
      <c r="AB47" s="85"/>
      <c r="AC47" s="72"/>
      <c r="AD47" s="72"/>
      <c r="AE47" s="72"/>
      <c r="AF47" s="72"/>
      <c r="AG47" s="72"/>
      <c r="AH47" s="85"/>
      <c r="AI47" s="85"/>
      <c r="AN47" s="62"/>
      <c r="AO47" s="63"/>
      <c r="AP47" s="62"/>
      <c r="AQ47" s="62"/>
      <c r="AR47" s="62"/>
      <c r="AS47" s="62"/>
      <c r="AT47" s="62"/>
      <c r="AU47" s="63"/>
      <c r="AV47" s="62"/>
      <c r="AW47" s="62"/>
      <c r="AX47" s="62"/>
      <c r="AY47" s="63"/>
      <c r="AZ47" s="62"/>
      <c r="BA47" s="62"/>
      <c r="BB47" s="62"/>
      <c r="BC47" s="63"/>
      <c r="BD47" s="62"/>
      <c r="BE47" s="62"/>
      <c r="BF47" s="62"/>
      <c r="BG47" s="62"/>
      <c r="BH47" s="62"/>
    </row>
    <row r="48" spans="1:60" ht="15" customHeight="1" x14ac:dyDescent="0.25">
      <c r="A48" s="67"/>
      <c r="B48" s="183">
        <v>44006</v>
      </c>
      <c r="C48" s="190" t="s">
        <v>51</v>
      </c>
      <c r="D48" s="75" t="str">
        <f>A45</f>
        <v>Portugal</v>
      </c>
      <c r="E48" s="76" t="s">
        <v>13</v>
      </c>
      <c r="F48" s="77" t="str">
        <f>A46</f>
        <v>Frankrijk</v>
      </c>
      <c r="G48" s="78"/>
      <c r="H48" s="78" t="s">
        <v>13</v>
      </c>
      <c r="I48" s="79"/>
      <c r="J48" s="85"/>
      <c r="K48" s="85"/>
      <c r="L48" s="85"/>
      <c r="M48" s="85"/>
      <c r="N48" s="85"/>
      <c r="O48" s="85"/>
      <c r="P48" s="171"/>
      <c r="Q48" s="172"/>
      <c r="R48" s="85"/>
      <c r="S48" s="173"/>
      <c r="T48" s="174"/>
      <c r="U48" s="165"/>
      <c r="V48" s="174"/>
      <c r="X48" s="85"/>
      <c r="Y48" s="122"/>
      <c r="Z48" s="85"/>
      <c r="AC48" s="72"/>
      <c r="AD48" s="72"/>
      <c r="AE48" s="72"/>
      <c r="AF48" s="72"/>
      <c r="AG48" s="72"/>
      <c r="AH48" s="85"/>
      <c r="AI48" s="85"/>
      <c r="AN48" s="62"/>
      <c r="AO48" s="63"/>
      <c r="AP48" s="62"/>
      <c r="AQ48" s="62"/>
      <c r="AR48" s="62"/>
      <c r="AS48" s="62"/>
      <c r="AT48" s="62"/>
      <c r="AU48" s="63"/>
      <c r="AV48" s="62"/>
      <c r="AW48" s="62"/>
      <c r="AX48" s="62"/>
      <c r="AY48" s="63"/>
      <c r="AZ48" s="62"/>
      <c r="BA48" s="62"/>
      <c r="BB48" s="62"/>
      <c r="BC48" s="63"/>
      <c r="BD48" s="62"/>
      <c r="BE48" s="62"/>
      <c r="BF48" s="62"/>
      <c r="BG48" s="62"/>
      <c r="BH48" s="62"/>
    </row>
    <row r="49" spans="2:60" ht="15" customHeight="1" x14ac:dyDescent="0.25">
      <c r="B49" s="184">
        <v>44006</v>
      </c>
      <c r="C49" s="191" t="s">
        <v>54</v>
      </c>
      <c r="D49" s="125" t="str">
        <f>A47</f>
        <v>Duitsland</v>
      </c>
      <c r="E49" s="126" t="s">
        <v>13</v>
      </c>
      <c r="F49" s="127" t="str">
        <f>A44</f>
        <v>Play-off A</v>
      </c>
      <c r="G49" s="78"/>
      <c r="H49" s="78" t="s">
        <v>13</v>
      </c>
      <c r="I49" s="79"/>
      <c r="M49" s="85"/>
      <c r="N49" s="85"/>
      <c r="O49" s="85"/>
      <c r="P49" s="85"/>
      <c r="Q49" s="85"/>
      <c r="R49" s="171"/>
      <c r="S49" s="172"/>
      <c r="T49" s="85"/>
      <c r="U49" s="173"/>
      <c r="X49" s="85"/>
      <c r="AC49" s="165"/>
      <c r="AD49" s="165"/>
      <c r="AE49" s="165"/>
      <c r="AF49" s="165"/>
      <c r="AG49" s="165"/>
      <c r="AN49" s="62"/>
      <c r="AO49" s="63"/>
      <c r="AP49" s="62"/>
      <c r="AQ49" s="62"/>
      <c r="AR49" s="62"/>
      <c r="AS49" s="62"/>
      <c r="AT49" s="62"/>
      <c r="AU49" s="63"/>
      <c r="AV49" s="62"/>
      <c r="AW49" s="62"/>
      <c r="AX49" s="62"/>
      <c r="AY49" s="63"/>
      <c r="AZ49" s="62"/>
      <c r="BA49" s="62"/>
      <c r="BB49" s="62"/>
      <c r="BC49" s="63"/>
      <c r="BD49" s="62"/>
      <c r="BE49" s="62"/>
      <c r="BF49" s="62"/>
      <c r="BG49" s="62"/>
      <c r="BH49" s="62"/>
    </row>
    <row r="50" spans="2:60" ht="15" customHeight="1" x14ac:dyDescent="0.25">
      <c r="B50" s="175"/>
      <c r="C50" s="175"/>
      <c r="D50" s="175"/>
      <c r="E50" s="175"/>
      <c r="F50" s="175"/>
      <c r="G50" s="175"/>
      <c r="H50" s="175"/>
      <c r="I50" s="175"/>
      <c r="AN50" s="62"/>
      <c r="AO50" s="63"/>
      <c r="AP50" s="62"/>
      <c r="AQ50" s="62"/>
      <c r="AR50" s="62"/>
      <c r="AS50" s="62"/>
      <c r="AT50" s="62"/>
      <c r="AU50" s="63"/>
      <c r="AV50" s="62"/>
      <c r="AW50" s="62"/>
      <c r="AX50" s="62"/>
      <c r="AY50" s="63"/>
      <c r="AZ50" s="62"/>
      <c r="BA50" s="62"/>
      <c r="BB50" s="62"/>
      <c r="BC50" s="63"/>
      <c r="BD50" s="62"/>
      <c r="BE50" s="62"/>
      <c r="BF50" s="62"/>
      <c r="BG50" s="62"/>
      <c r="BH50" s="62"/>
    </row>
    <row r="51" spans="2:60" ht="15" customHeight="1" x14ac:dyDescent="0.25">
      <c r="B51" s="198" t="s">
        <v>85</v>
      </c>
      <c r="C51" s="198"/>
      <c r="D51" s="198"/>
      <c r="E51" s="198"/>
      <c r="F51" s="198"/>
      <c r="G51" s="198"/>
      <c r="H51" s="198"/>
      <c r="I51" s="199"/>
      <c r="AH51" s="85"/>
      <c r="AI51" s="122"/>
      <c r="AN51" s="62"/>
      <c r="AO51" s="63"/>
      <c r="AP51" s="62"/>
      <c r="AQ51" s="62"/>
      <c r="AR51" s="62"/>
      <c r="AS51" s="58"/>
      <c r="AT51" s="58"/>
      <c r="AU51" s="58"/>
      <c r="AV51" s="58"/>
      <c r="AW51" s="58"/>
      <c r="AX51" s="62"/>
      <c r="AY51" s="58"/>
      <c r="AZ51" s="58"/>
      <c r="BA51" s="58"/>
      <c r="BB51" s="58"/>
      <c r="BC51" s="58"/>
      <c r="BD51" s="58"/>
      <c r="BE51" s="58"/>
      <c r="BF51" s="58"/>
      <c r="BG51" s="58"/>
      <c r="BH51" s="58"/>
    </row>
    <row r="52" spans="2:60" ht="15" customHeight="1" x14ac:dyDescent="0.25">
      <c r="B52" s="196" t="s">
        <v>86</v>
      </c>
      <c r="C52" s="196"/>
      <c r="D52" s="196"/>
      <c r="E52" s="196"/>
      <c r="F52" s="196"/>
      <c r="G52" s="196"/>
      <c r="H52" s="196"/>
      <c r="I52" s="197"/>
      <c r="AH52" s="85"/>
      <c r="AI52" s="122"/>
      <c r="AN52" s="62"/>
      <c r="AO52" s="63"/>
      <c r="AP52" s="62"/>
      <c r="AQ52" s="62"/>
      <c r="AR52" s="62"/>
      <c r="AS52" s="58"/>
      <c r="AT52" s="58"/>
      <c r="AU52" s="58"/>
      <c r="AV52" s="58"/>
      <c r="AW52" s="58"/>
      <c r="AX52" s="62"/>
      <c r="AY52" s="58"/>
      <c r="AZ52" s="58"/>
      <c r="BA52" s="58"/>
      <c r="BB52" s="58"/>
      <c r="BC52" s="58"/>
      <c r="BD52" s="58"/>
      <c r="BE52" s="58"/>
      <c r="BF52" s="58"/>
      <c r="BG52" s="58"/>
      <c r="BH52" s="58"/>
    </row>
    <row r="53" spans="2:60" ht="15" customHeight="1" x14ac:dyDescent="0.25">
      <c r="B53" s="196" t="s">
        <v>87</v>
      </c>
      <c r="C53" s="196"/>
      <c r="D53" s="196"/>
      <c r="E53" s="196"/>
      <c r="F53" s="196"/>
      <c r="G53" s="196"/>
      <c r="H53" s="196"/>
      <c r="I53" s="197"/>
      <c r="AH53" s="85"/>
      <c r="AI53" s="122"/>
      <c r="AN53" s="62"/>
      <c r="AO53" s="63"/>
      <c r="AP53" s="62"/>
      <c r="AQ53" s="62"/>
      <c r="AR53" s="62"/>
      <c r="AS53" s="58"/>
      <c r="AT53" s="58"/>
      <c r="AU53" s="58"/>
      <c r="AV53" s="58"/>
      <c r="AW53" s="58"/>
      <c r="AX53" s="62"/>
      <c r="AY53" s="58"/>
      <c r="AZ53" s="58"/>
      <c r="BA53" s="58"/>
      <c r="BB53" s="58"/>
      <c r="BC53" s="58"/>
      <c r="BD53" s="58"/>
      <c r="BE53" s="58"/>
      <c r="BF53" s="58"/>
      <c r="BG53" s="58"/>
      <c r="BH53" s="58"/>
    </row>
    <row r="54" spans="2:60" ht="15" customHeight="1" x14ac:dyDescent="0.25">
      <c r="B54" s="194" t="s">
        <v>88</v>
      </c>
      <c r="C54" s="194"/>
      <c r="D54" s="194"/>
      <c r="E54" s="194"/>
      <c r="F54" s="194"/>
      <c r="G54" s="194"/>
      <c r="H54" s="194"/>
      <c r="I54" s="195"/>
      <c r="X54" s="165"/>
      <c r="AH54" s="85"/>
      <c r="AI54" s="85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</row>
    <row r="55" spans="2:60" ht="15" customHeight="1" x14ac:dyDescent="0.25">
      <c r="B55" s="196" t="s">
        <v>89</v>
      </c>
      <c r="C55" s="196"/>
      <c r="D55" s="196"/>
      <c r="E55" s="196"/>
      <c r="F55" s="196"/>
      <c r="G55" s="196"/>
      <c r="H55" s="196"/>
      <c r="I55" s="197"/>
      <c r="X55" s="165"/>
      <c r="AH55" s="85"/>
      <c r="AI55" s="85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</row>
    <row r="56" spans="2:60" ht="15" customHeight="1" x14ac:dyDescent="0.25">
      <c r="B56" s="196" t="s">
        <v>90</v>
      </c>
      <c r="C56" s="196"/>
      <c r="D56" s="196"/>
      <c r="E56" s="196"/>
      <c r="F56" s="196"/>
      <c r="G56" s="196"/>
      <c r="H56" s="196"/>
      <c r="I56" s="197"/>
      <c r="V56" s="173"/>
      <c r="X56" s="165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</row>
    <row r="57" spans="2:60" ht="15" customHeight="1" x14ac:dyDescent="0.25">
      <c r="B57" s="196" t="s">
        <v>91</v>
      </c>
      <c r="C57" s="196"/>
      <c r="D57" s="196"/>
      <c r="E57" s="196"/>
      <c r="F57" s="196"/>
      <c r="G57" s="196"/>
      <c r="H57" s="196"/>
      <c r="I57" s="197"/>
      <c r="V57" s="173"/>
      <c r="X57" s="165"/>
      <c r="AC57" s="173"/>
      <c r="AD57" s="173"/>
      <c r="AE57" s="173"/>
      <c r="AF57" s="173"/>
      <c r="AG57" s="173"/>
      <c r="AN57" s="58"/>
      <c r="AO57" s="58"/>
      <c r="AP57" s="58"/>
      <c r="AQ57" s="58"/>
      <c r="AR57" s="58"/>
    </row>
    <row r="58" spans="2:60" ht="15" customHeight="1" x14ac:dyDescent="0.25">
      <c r="B58" s="194" t="s">
        <v>92</v>
      </c>
      <c r="C58" s="194"/>
      <c r="D58" s="194"/>
      <c r="E58" s="194"/>
      <c r="F58" s="194"/>
      <c r="G58" s="194"/>
      <c r="H58" s="194"/>
      <c r="I58" s="195"/>
      <c r="X58" s="176"/>
      <c r="AC58" s="173"/>
      <c r="AD58" s="173"/>
      <c r="AE58" s="173"/>
      <c r="AF58" s="173"/>
      <c r="AG58" s="173"/>
      <c r="AN58" s="58"/>
      <c r="AO58" s="58"/>
      <c r="AP58" s="58"/>
      <c r="AQ58" s="58"/>
      <c r="AR58" s="58"/>
    </row>
    <row r="59" spans="2:60" ht="15" customHeight="1" x14ac:dyDescent="0.25">
      <c r="B59" s="194" t="s">
        <v>93</v>
      </c>
      <c r="C59" s="194"/>
      <c r="D59" s="194"/>
      <c r="E59" s="194"/>
      <c r="F59" s="194"/>
      <c r="G59" s="194"/>
      <c r="H59" s="194"/>
      <c r="I59" s="195"/>
      <c r="AN59" s="58"/>
      <c r="AO59" s="58"/>
      <c r="AP59" s="58"/>
      <c r="AQ59" s="58"/>
      <c r="AR59" s="58"/>
    </row>
    <row r="60" spans="2:60" ht="15" customHeight="1" x14ac:dyDescent="0.25">
      <c r="B60" s="194" t="s">
        <v>94</v>
      </c>
      <c r="C60" s="194"/>
      <c r="D60" s="194"/>
      <c r="E60" s="194"/>
      <c r="F60" s="194"/>
      <c r="G60" s="194"/>
      <c r="H60" s="194"/>
      <c r="I60" s="195"/>
    </row>
    <row r="61" spans="2:60" ht="15" customHeight="1" x14ac:dyDescent="0.25">
      <c r="B61" s="194" t="s">
        <v>95</v>
      </c>
      <c r="C61" s="194"/>
      <c r="D61" s="194"/>
      <c r="E61" s="194"/>
      <c r="F61" s="194"/>
      <c r="G61" s="194"/>
      <c r="H61" s="194"/>
      <c r="I61" s="195"/>
      <c r="X61" s="165"/>
    </row>
    <row r="62" spans="2:60" ht="15" customHeight="1" x14ac:dyDescent="0.25">
      <c r="B62" s="194" t="s">
        <v>96</v>
      </c>
      <c r="C62" s="194"/>
      <c r="D62" s="194"/>
      <c r="E62" s="194"/>
      <c r="F62" s="194"/>
      <c r="G62" s="194"/>
      <c r="H62" s="194"/>
      <c r="I62" s="195"/>
      <c r="X62" s="165"/>
    </row>
    <row r="63" spans="2:60" ht="15" customHeight="1" x14ac:dyDescent="0.25">
      <c r="B63" s="194" t="s">
        <v>97</v>
      </c>
      <c r="C63" s="194"/>
      <c r="D63" s="194"/>
      <c r="E63" s="194"/>
      <c r="F63" s="194"/>
      <c r="G63" s="194"/>
      <c r="H63" s="194"/>
      <c r="I63" s="195"/>
      <c r="J63" s="85"/>
      <c r="V63" s="173"/>
      <c r="X63" s="165"/>
    </row>
    <row r="64" spans="2:60" ht="15" customHeight="1" x14ac:dyDescent="0.25">
      <c r="B64" s="192"/>
      <c r="C64" s="192"/>
      <c r="D64" s="192"/>
      <c r="E64" s="192"/>
      <c r="F64" s="192"/>
      <c r="G64" s="192"/>
      <c r="H64" s="192"/>
      <c r="I64" s="193"/>
      <c r="J64" s="85"/>
      <c r="L64" s="67"/>
      <c r="M64" s="122"/>
      <c r="N64" s="122"/>
      <c r="O64" s="122"/>
      <c r="P64" s="122"/>
      <c r="Q64" s="122"/>
      <c r="R64" s="122"/>
      <c r="S64" s="173"/>
      <c r="T64" s="172"/>
      <c r="V64" s="173"/>
      <c r="X64" s="165"/>
      <c r="AC64" s="173"/>
      <c r="AD64" s="173"/>
      <c r="AE64" s="173"/>
      <c r="AF64" s="173"/>
      <c r="AG64" s="173"/>
    </row>
    <row r="65" spans="1:33" ht="15" customHeight="1" x14ac:dyDescent="0.25">
      <c r="A65" s="85"/>
      <c r="D65" s="86"/>
      <c r="E65" s="86"/>
      <c r="J65" s="85"/>
      <c r="K65" s="150"/>
      <c r="L65" s="67"/>
      <c r="Q65" s="122"/>
      <c r="R65" s="122"/>
      <c r="S65" s="173"/>
      <c r="T65" s="172"/>
      <c r="U65" s="150"/>
      <c r="X65" s="176"/>
      <c r="Z65" s="85"/>
      <c r="AC65" s="173"/>
      <c r="AD65" s="173"/>
      <c r="AE65" s="173"/>
      <c r="AF65" s="173"/>
      <c r="AG65" s="173"/>
    </row>
    <row r="66" spans="1:33" ht="15" customHeight="1" x14ac:dyDescent="0.25">
      <c r="B66" s="85"/>
      <c r="C66" s="85"/>
      <c r="D66" s="86"/>
      <c r="E66" s="86"/>
      <c r="F66" s="85"/>
    </row>
  </sheetData>
  <mergeCells count="27">
    <mergeCell ref="AV35:AW35"/>
    <mergeCell ref="D43:I43"/>
    <mergeCell ref="AV11:AW11"/>
    <mergeCell ref="AP8:AQ8"/>
    <mergeCell ref="D19:I19"/>
    <mergeCell ref="D27:I27"/>
    <mergeCell ref="AT13:AU13"/>
    <mergeCell ref="AT1:AU1"/>
    <mergeCell ref="AR25:AS25"/>
    <mergeCell ref="AR30:AS30"/>
    <mergeCell ref="AR40:AS40"/>
    <mergeCell ref="B1:F1"/>
    <mergeCell ref="G1:I1"/>
    <mergeCell ref="Y1:AA1"/>
    <mergeCell ref="U1:V1"/>
    <mergeCell ref="D3:I3"/>
    <mergeCell ref="D11:I11"/>
    <mergeCell ref="AT14:AU14"/>
    <mergeCell ref="D35:I35"/>
    <mergeCell ref="AZ16:BA16"/>
    <mergeCell ref="AZ31:BA31"/>
    <mergeCell ref="AV17:AW17"/>
    <mergeCell ref="AV29:AW29"/>
    <mergeCell ref="AQ13:AR13"/>
    <mergeCell ref="AP18:AQ18"/>
    <mergeCell ref="AQ20:AR20"/>
    <mergeCell ref="AX16:AY16"/>
  </mergeCells>
  <conditionalFormatting sqref="Y4:AA5">
    <cfRule type="expression" dxfId="102" priority="214" stopIfTrue="1">
      <formula>COUNT($G$4:$I$9)=12</formula>
    </cfRule>
  </conditionalFormatting>
  <conditionalFormatting sqref="U3:V3">
    <cfRule type="expression" dxfId="101" priority="168" stopIfTrue="1">
      <formula>U3="loten:"</formula>
    </cfRule>
  </conditionalFormatting>
  <conditionalFormatting sqref="U11">
    <cfRule type="expression" dxfId="100" priority="164" stopIfTrue="1">
      <formula>U11="loten:"</formula>
    </cfRule>
  </conditionalFormatting>
  <conditionalFormatting sqref="U19">
    <cfRule type="expression" dxfId="99" priority="161" stopIfTrue="1">
      <formula>U19="loten:"</formula>
    </cfRule>
  </conditionalFormatting>
  <conditionalFormatting sqref="U27">
    <cfRule type="expression" dxfId="98" priority="158" stopIfTrue="1">
      <formula>U27="loten:"</formula>
    </cfRule>
  </conditionalFormatting>
  <conditionalFormatting sqref="U35">
    <cfRule type="expression" dxfId="97" priority="155" stopIfTrue="1">
      <formula>U35="loten:"</formula>
    </cfRule>
  </conditionalFormatting>
  <conditionalFormatting sqref="U43">
    <cfRule type="expression" dxfId="96" priority="152" stopIfTrue="1">
      <formula>U43="loten:"</formula>
    </cfRule>
  </conditionalFormatting>
  <conditionalFormatting sqref="AE4">
    <cfRule type="expression" dxfId="95" priority="143" stopIfTrue="1">
      <formula>AE4&lt;&gt;""</formula>
    </cfRule>
  </conditionalFormatting>
  <conditionalFormatting sqref="AN37 AN7 AX15 BB24">
    <cfRule type="expression" dxfId="94" priority="51" stopIfTrue="1">
      <formula>AND(SEARCH("Ned",AN7)&gt;=1,AO7&gt;AO6)</formula>
    </cfRule>
    <cfRule type="expression" dxfId="93" priority="52" stopIfTrue="1">
      <formula>AO7&gt;AO6</formula>
    </cfRule>
    <cfRule type="expression" dxfId="92" priority="55" stopIfTrue="1">
      <formula>SEARCH("Ned",AN7)&gt;=1</formula>
    </cfRule>
  </conditionalFormatting>
  <conditionalFormatting sqref="AN12">
    <cfRule type="expression" dxfId="91" priority="81" stopIfTrue="1">
      <formula>AND(SEARCH("Ned",AN12)&gt;=1,AO12&gt;AO11)</formula>
    </cfRule>
    <cfRule type="expression" dxfId="90" priority="82" stopIfTrue="1">
      <formula>AO12&gt;AO11</formula>
    </cfRule>
    <cfRule type="expression" dxfId="89" priority="85" stopIfTrue="1">
      <formula>SEARCH("Ned",AN12)&gt;=1</formula>
    </cfRule>
  </conditionalFormatting>
  <conditionalFormatting sqref="AN11 AN6 AX14 BB23">
    <cfRule type="expression" dxfId="88" priority="80" stopIfTrue="1">
      <formula>AND(SEARCH("Ned",AN6)&gt;=1,AO6&gt;AO7)</formula>
    </cfRule>
    <cfRule type="expression" dxfId="87" priority="83" stopIfTrue="1">
      <formula>AO6&gt;AO7</formula>
    </cfRule>
    <cfRule type="expression" dxfId="86" priority="84" stopIfTrue="1">
      <formula>SEARCH("Ned",AN6)&gt;=1</formula>
    </cfRule>
  </conditionalFormatting>
  <conditionalFormatting sqref="AN17">
    <cfRule type="expression" dxfId="85" priority="74" stopIfTrue="1">
      <formula>AND(SEARCH("Ned",AN17)&gt;=1,AO17&gt;AO16)</formula>
    </cfRule>
    <cfRule type="expression" dxfId="84" priority="76" stopIfTrue="1">
      <formula>AO17&gt;AO16</formula>
    </cfRule>
    <cfRule type="expression" dxfId="83" priority="78" stopIfTrue="1">
      <formula>SEARCH("Ned",AN17)&gt;=1</formula>
    </cfRule>
  </conditionalFormatting>
  <conditionalFormatting sqref="AN16">
    <cfRule type="expression" dxfId="82" priority="75" stopIfTrue="1">
      <formula>AND(SEARCH("Ned",AN16)&gt;=1,AO16&gt;AO17)</formula>
    </cfRule>
    <cfRule type="expression" dxfId="81" priority="77" stopIfTrue="1">
      <formula>AO16&gt;AO17</formula>
    </cfRule>
    <cfRule type="expression" dxfId="80" priority="79" stopIfTrue="1">
      <formula>SEARCH("Ned",AN16)&gt;=1</formula>
    </cfRule>
  </conditionalFormatting>
  <conditionalFormatting sqref="AN22">
    <cfRule type="expression" dxfId="79" priority="69" stopIfTrue="1">
      <formula>AND(SEARCH("Ned",AN22)&gt;=1,AO22&gt;AO21)</formula>
    </cfRule>
    <cfRule type="expression" dxfId="78" priority="70" stopIfTrue="1">
      <formula>AO22&gt;AO21</formula>
    </cfRule>
    <cfRule type="expression" dxfId="77" priority="73" stopIfTrue="1">
      <formula>SEARCH("Ned",AN22)&gt;=1</formula>
    </cfRule>
  </conditionalFormatting>
  <conditionalFormatting sqref="AN21">
    <cfRule type="expression" dxfId="76" priority="68" stopIfTrue="1">
      <formula>AND(SEARCH("Ned",AN21)&gt;=1,AO21&gt;AO22)</formula>
    </cfRule>
    <cfRule type="expression" dxfId="75" priority="71" stopIfTrue="1">
      <formula>AO21&gt;AO22</formula>
    </cfRule>
    <cfRule type="expression" dxfId="74" priority="72" stopIfTrue="1">
      <formula>SEARCH("Ned",AN21)&gt;=1</formula>
    </cfRule>
  </conditionalFormatting>
  <conditionalFormatting sqref="AN27">
    <cfRule type="expression" dxfId="73" priority="63" stopIfTrue="1">
      <formula>AND(SEARCH("Ned",AN27)&gt;=1,AO27&gt;AO26)</formula>
    </cfRule>
    <cfRule type="expression" dxfId="72" priority="64" stopIfTrue="1">
      <formula>AO27&gt;AO26</formula>
    </cfRule>
    <cfRule type="expression" dxfId="71" priority="67" stopIfTrue="1">
      <formula>SEARCH("Ned",AN27)&gt;=1</formula>
    </cfRule>
  </conditionalFormatting>
  <conditionalFormatting sqref="AN26">
    <cfRule type="expression" dxfId="70" priority="62" stopIfTrue="1">
      <formula>AND(SEARCH("Ned",AN26)&gt;=1,AO26&gt;AO27)</formula>
    </cfRule>
    <cfRule type="expression" dxfId="69" priority="65" stopIfTrue="1">
      <formula>AO26&gt;AO27</formula>
    </cfRule>
    <cfRule type="expression" dxfId="68" priority="66" stopIfTrue="1">
      <formula>SEARCH("Ned",AN26)&gt;=1</formula>
    </cfRule>
  </conditionalFormatting>
  <conditionalFormatting sqref="AN32">
    <cfRule type="expression" dxfId="67" priority="57" stopIfTrue="1">
      <formula>AND(SEARCH("Ned",AN32)&gt;=1,AO32&gt;AO31)</formula>
    </cfRule>
    <cfRule type="expression" dxfId="66" priority="58" stopIfTrue="1">
      <formula>AO32&gt;AO31</formula>
    </cfRule>
    <cfRule type="expression" dxfId="65" priority="61" stopIfTrue="1">
      <formula>SEARCH("Ned",AN32)&gt;=1</formula>
    </cfRule>
  </conditionalFormatting>
  <conditionalFormatting sqref="AN31">
    <cfRule type="expression" dxfId="64" priority="56" stopIfTrue="1">
      <formula>AND(SEARCH("Ned",AN31)&gt;=1,AO31&gt;AO32)</formula>
    </cfRule>
    <cfRule type="expression" dxfId="63" priority="59" stopIfTrue="1">
      <formula>AO31&gt;AO32</formula>
    </cfRule>
    <cfRule type="expression" dxfId="62" priority="60" stopIfTrue="1">
      <formula>SEARCH("Ned",AN31)&gt;=1</formula>
    </cfRule>
  </conditionalFormatting>
  <conditionalFormatting sqref="AN36">
    <cfRule type="expression" dxfId="61" priority="50" stopIfTrue="1">
      <formula>AND(SEARCH("Ned",AN36)&gt;=1,AO36&gt;AO37)</formula>
    </cfRule>
    <cfRule type="expression" dxfId="60" priority="53" stopIfTrue="1">
      <formula>AO36&gt;AO37</formula>
    </cfRule>
    <cfRule type="expression" dxfId="59" priority="54" stopIfTrue="1">
      <formula>SEARCH("Ned",AN36)&gt;=1</formula>
    </cfRule>
  </conditionalFormatting>
  <conditionalFormatting sqref="AN42">
    <cfRule type="expression" dxfId="58" priority="45" stopIfTrue="1">
      <formula>AND(SEARCH("Ned",AN42)&gt;=1,AO42&gt;AO41)</formula>
    </cfRule>
    <cfRule type="expression" dxfId="57" priority="46" stopIfTrue="1">
      <formula>AO42&gt;AO41</formula>
    </cfRule>
    <cfRule type="expression" dxfId="56" priority="49" stopIfTrue="1">
      <formula>SEARCH("Ned",AN42)&gt;=1</formula>
    </cfRule>
  </conditionalFormatting>
  <conditionalFormatting sqref="AN41">
    <cfRule type="expression" dxfId="55" priority="44" stopIfTrue="1">
      <formula>AND(SEARCH("Ned",AN41)&gt;=1,AO41&gt;AO42)</formula>
    </cfRule>
    <cfRule type="expression" dxfId="54" priority="47" stopIfTrue="1">
      <formula>AO41&gt;AO42</formula>
    </cfRule>
    <cfRule type="expression" dxfId="53" priority="48" stopIfTrue="1">
      <formula>SEARCH("Ned",AN41)&gt;=1</formula>
    </cfRule>
  </conditionalFormatting>
  <conditionalFormatting sqref="AT37">
    <cfRule type="expression" dxfId="52" priority="38" stopIfTrue="1">
      <formula>AND(SEARCH("Ned",AT37)&gt;=1,AU37&gt;AU36)</formula>
    </cfRule>
    <cfRule type="expression" dxfId="51" priority="40" stopIfTrue="1">
      <formula>AU37&gt;AU36</formula>
    </cfRule>
    <cfRule type="expression" dxfId="50" priority="42" stopIfTrue="1">
      <formula>SEARCH("Ned",AT37)&gt;=1</formula>
    </cfRule>
  </conditionalFormatting>
  <conditionalFormatting sqref="AT36">
    <cfRule type="expression" dxfId="49" priority="39" stopIfTrue="1">
      <formula>AND(SEARCH("Ned",AT36)&gt;=1,AU36&gt;AU37)</formula>
    </cfRule>
    <cfRule type="expression" dxfId="48" priority="41" stopIfTrue="1">
      <formula>AU36&gt;AU37</formula>
    </cfRule>
    <cfRule type="expression" dxfId="47" priority="43" stopIfTrue="1">
      <formula>SEARCH("Ned",AT36)&gt;=1</formula>
    </cfRule>
  </conditionalFormatting>
  <conditionalFormatting sqref="AT28">
    <cfRule type="expression" dxfId="46" priority="32" stopIfTrue="1">
      <formula>AND(SEARCH("Ned",AT28)&gt;=1,AU28&gt;AU27)</formula>
    </cfRule>
    <cfRule type="expression" dxfId="45" priority="34" stopIfTrue="1">
      <formula>AU28&gt;AU27</formula>
    </cfRule>
    <cfRule type="expression" dxfId="44" priority="36" stopIfTrue="1">
      <formula>SEARCH("Ned",AT28)&gt;=1</formula>
    </cfRule>
  </conditionalFormatting>
  <conditionalFormatting sqref="AT27">
    <cfRule type="expression" dxfId="43" priority="33" stopIfTrue="1">
      <formula>AND(SEARCH("Ned",AT27)&gt;=1,AU27&gt;AU28)</formula>
    </cfRule>
    <cfRule type="expression" dxfId="42" priority="35" stopIfTrue="1">
      <formula>AU27&gt;AU28</formula>
    </cfRule>
    <cfRule type="expression" dxfId="41" priority="37" stopIfTrue="1">
      <formula>SEARCH("Ned",AT27)&gt;=1</formula>
    </cfRule>
  </conditionalFormatting>
  <conditionalFormatting sqref="AT19">
    <cfRule type="expression" dxfId="40" priority="26" stopIfTrue="1">
      <formula>AND(SEARCH("Ned",AT19)&gt;=1,AU19&gt;AU18)</formula>
    </cfRule>
    <cfRule type="expression" dxfId="39" priority="28" stopIfTrue="1">
      <formula>AU19&gt;AU18</formula>
    </cfRule>
    <cfRule type="expression" dxfId="38" priority="30" stopIfTrue="1">
      <formula>SEARCH("Ned",AT19)&gt;=1</formula>
    </cfRule>
  </conditionalFormatting>
  <conditionalFormatting sqref="AT18">
    <cfRule type="expression" dxfId="37" priority="27" stopIfTrue="1">
      <formula>AND(SEARCH("Ned",AT18)&gt;=1,AU18&gt;AU19)</formula>
    </cfRule>
    <cfRule type="expression" dxfId="36" priority="29" stopIfTrue="1">
      <formula>AU18&gt;AU19</formula>
    </cfRule>
    <cfRule type="expression" dxfId="35" priority="31" stopIfTrue="1">
      <formula>SEARCH("Ned",AT18)&gt;=1</formula>
    </cfRule>
  </conditionalFormatting>
  <conditionalFormatting sqref="AT10">
    <cfRule type="expression" dxfId="34" priority="20" stopIfTrue="1">
      <formula>AND(SEARCH("Ned",AT10)&gt;=1,AU10&gt;AU9)</formula>
    </cfRule>
    <cfRule type="expression" dxfId="33" priority="22" stopIfTrue="1">
      <formula>AU10&gt;AU9</formula>
    </cfRule>
    <cfRule type="expression" dxfId="32" priority="24" stopIfTrue="1">
      <formula>SEARCH("Ned",AT10)&gt;=1</formula>
    </cfRule>
  </conditionalFormatting>
  <conditionalFormatting sqref="AT9">
    <cfRule type="expression" dxfId="31" priority="21" stopIfTrue="1">
      <formula>AND(SEARCH("Ned",AT9)&gt;=1,AU9&gt;AU10)</formula>
    </cfRule>
    <cfRule type="expression" dxfId="30" priority="23" stopIfTrue="1">
      <formula>AU9&gt;AU10</formula>
    </cfRule>
    <cfRule type="expression" dxfId="29" priority="25" stopIfTrue="1">
      <formula>SEARCH("Ned",AT9)&gt;=1</formula>
    </cfRule>
  </conditionalFormatting>
  <conditionalFormatting sqref="AX33">
    <cfRule type="expression" dxfId="28" priority="3" stopIfTrue="1">
      <formula>AND(SEARCH("Ned",AX33)&gt;=1,AY33&gt;AY32)</formula>
    </cfRule>
    <cfRule type="expression" dxfId="27" priority="4" stopIfTrue="1">
      <formula>AY33&gt;AY32</formula>
    </cfRule>
    <cfRule type="expression" dxfId="26" priority="7" stopIfTrue="1">
      <formula>SEARCH("Ned",AX33)&gt;=1</formula>
    </cfRule>
  </conditionalFormatting>
  <conditionalFormatting sqref="AX32">
    <cfRule type="expression" dxfId="25" priority="2" stopIfTrue="1">
      <formula>AND(SEARCH("Ned",AX32)&gt;=1,AY32&gt;AY33)</formula>
    </cfRule>
    <cfRule type="expression" dxfId="24" priority="5" stopIfTrue="1">
      <formula>AY32&gt;AY33</formula>
    </cfRule>
    <cfRule type="expression" dxfId="23" priority="6" stopIfTrue="1">
      <formula>SEARCH("Ned",AX32)&gt;=1</formula>
    </cfRule>
  </conditionalFormatting>
  <conditionalFormatting sqref="Z20:Z23">
    <cfRule type="expression" dxfId="22" priority="1">
      <formula>SEARCH("Ned",Z20)&gt;=1</formula>
    </cfRule>
  </conditionalFormatting>
  <conditionalFormatting sqref="U4:U7">
    <cfRule type="expression" dxfId="21" priority="375" stopIfTrue="1">
      <formula>AND(COUNT($G$4:$I$9)=12,COUNTIF($T$4:$T$7,$T4)&gt;1)</formula>
    </cfRule>
  </conditionalFormatting>
  <conditionalFormatting sqref="V4:V7">
    <cfRule type="expression" dxfId="20" priority="376" stopIfTrue="1">
      <formula>AND(COUNT($G$4:$I$9)=12,COUNTIF($T$4:$T$7,$T4)&gt;1)</formula>
    </cfRule>
  </conditionalFormatting>
  <conditionalFormatting sqref="Y12:AA13">
    <cfRule type="expression" dxfId="19" priority="406" stopIfTrue="1">
      <formula>COUNT($G$12:$I$17)=12</formula>
    </cfRule>
  </conditionalFormatting>
  <conditionalFormatting sqref="U12:U15">
    <cfRule type="expression" dxfId="18" priority="412" stopIfTrue="1">
      <formula>AND(COUNT($G$12:$I$17)=12,COUNTIF($T$12:$T$15,$T12)&gt;1)</formula>
    </cfRule>
  </conditionalFormatting>
  <conditionalFormatting sqref="V11:V14">
    <cfRule type="expression" dxfId="17" priority="413" stopIfTrue="1">
      <formula>AND(COUNT($G$12:$I$17)=12,COUNTIF($T$12:$T$15,$T12)&gt;1)</formula>
    </cfRule>
  </conditionalFormatting>
  <conditionalFormatting sqref="Y20:AA21">
    <cfRule type="expression" dxfId="16" priority="465" stopIfTrue="1">
      <formula>COUNT($G$20:$I$25)=12</formula>
    </cfRule>
  </conditionalFormatting>
  <conditionalFormatting sqref="U20:U23">
    <cfRule type="expression" dxfId="15" priority="466" stopIfTrue="1">
      <formula>AND(COUNT($G$20:$I$24)=12,COUNTIF($T$20:$T$23,$T20)&gt;1)</formula>
    </cfRule>
  </conditionalFormatting>
  <conditionalFormatting sqref="V19:V22">
    <cfRule type="expression" dxfId="14" priority="467" stopIfTrue="1">
      <formula>AND(COUNT($G$20:$I$24)=12,COUNTIF($T$20:$T$23,$T20)&gt;1)</formula>
    </cfRule>
  </conditionalFormatting>
  <conditionalFormatting sqref="Y28:AA29">
    <cfRule type="expression" dxfId="13" priority="519" stopIfTrue="1">
      <formula>COUNT($G$28:$I$33)=12</formula>
    </cfRule>
  </conditionalFormatting>
  <conditionalFormatting sqref="U28:U31">
    <cfRule type="expression" dxfId="12" priority="525" stopIfTrue="1">
      <formula>AND(COUNT($G$28:$I$33)=12,COUNTIF($T$28:$T$31,$T28)&gt;1)</formula>
    </cfRule>
  </conditionalFormatting>
  <conditionalFormatting sqref="V27:V30">
    <cfRule type="expression" dxfId="11" priority="526" stopIfTrue="1">
      <formula>AND(COUNT($G$28:$I$33)=12,COUNTIF($T$28:$T$31,$T28)&gt;1)</formula>
    </cfRule>
  </conditionalFormatting>
  <conditionalFormatting sqref="Y36:AA37">
    <cfRule type="expression" dxfId="10" priority="570" stopIfTrue="1">
      <formula>COUNT($G$36:$I$41)=12</formula>
    </cfRule>
  </conditionalFormatting>
  <conditionalFormatting sqref="U36:U39">
    <cfRule type="expression" dxfId="9" priority="576" stopIfTrue="1">
      <formula>AND(COUNT($G$36:$I$41)=12,COUNTIF($T$36:$T$39,$T36)&gt;1)</formula>
    </cfRule>
  </conditionalFormatting>
  <conditionalFormatting sqref="V35:V38">
    <cfRule type="expression" dxfId="8" priority="577" stopIfTrue="1">
      <formula>AND(COUNT($G$36:$I$41)=12,COUNTIF($T$36:$T$39,$T36)&gt;1)</formula>
    </cfRule>
  </conditionalFormatting>
  <conditionalFormatting sqref="Y44:AA45">
    <cfRule type="expression" dxfId="7" priority="595" stopIfTrue="1">
      <formula>COUNT($G$44:$I$49)=12</formula>
    </cfRule>
  </conditionalFormatting>
  <conditionalFormatting sqref="AF7:AF14">
    <cfRule type="expression" dxfId="6" priority="596" stopIfTrue="1">
      <formula>AND(COUNT($G$4:$I$49)=72,AE7&lt;&gt;"")</formula>
    </cfRule>
  </conditionalFormatting>
  <conditionalFormatting sqref="AE7:AE9 AE11:AE14">
    <cfRule type="expression" dxfId="5" priority="597">
      <formula>AND(COUNT($G$4:$I$49)=72,AE7&lt;&gt;"")</formula>
    </cfRule>
  </conditionalFormatting>
  <conditionalFormatting sqref="AE5:AE6">
    <cfRule type="expression" dxfId="4" priority="599">
      <formula>AND(COUNT($G$4:$I$49)=72,AE$4&lt;&gt;"")</formula>
    </cfRule>
  </conditionalFormatting>
  <conditionalFormatting sqref="AE10">
    <cfRule type="expression" dxfId="3" priority="600">
      <formula>AND(COUNT($G$4:$I$49)=72,AE$11&lt;&gt;"")</formula>
    </cfRule>
  </conditionalFormatting>
  <conditionalFormatting sqref="U44:U47">
    <cfRule type="expression" dxfId="2" priority="601" stopIfTrue="1">
      <formula>AND(COUNT($G$44:$I$49)=12,COUNTIF($T$44:$T$47,$T44)&gt;1)</formula>
    </cfRule>
  </conditionalFormatting>
  <conditionalFormatting sqref="V43:V46">
    <cfRule type="expression" dxfId="1" priority="602" stopIfTrue="1">
      <formula>AND(COUNT($G$44:$I$49)=12,COUNTIF($T$44:$T$47,$T44)&gt;1)</formula>
    </cfRule>
  </conditionalFormatting>
  <conditionalFormatting sqref="AC22:AD22 AC46:AE46 AC38:AE38 AC6:AD6 AC14:AD14 AC30:AD30">
    <cfRule type="expression" dxfId="0" priority="603" stopIfTrue="1">
      <formula>AND(COUNT($G$4:$I$49)=72,COUNTIF($AB$6:$AB$46,$AB6)&gt;1)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EK 2020</vt:lpstr>
      <vt:lpstr>'EK 2020'!Afdrukbereik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Wouter Diemer - Reshift</cp:lastModifiedBy>
  <cp:revision/>
  <dcterms:created xsi:type="dcterms:W3CDTF">2019-04-06T21:51:44Z</dcterms:created>
  <dcterms:modified xsi:type="dcterms:W3CDTF">2020-02-18T10:14:40Z</dcterms:modified>
  <cp:category/>
  <cp:contentStatus/>
</cp:coreProperties>
</file>